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7" activeTab="6"/>
  </bookViews>
  <sheets>
    <sheet name="封面" sheetId="2" r:id="rId1"/>
    <sheet name="1.一般公共预算平衡" sheetId="1" r:id="rId2"/>
    <sheet name="债券" sheetId="10" r:id="rId3"/>
    <sheet name="2.总支出分科目" sheetId="3" r:id="rId4"/>
    <sheet name="3.一般公共科目表" sheetId="4" r:id="rId5"/>
    <sheet name="4.本级结转" sheetId="5" r:id="rId6"/>
    <sheet name="5.支出分项" sheetId="6" r:id="rId7"/>
    <sheet name="6.经费拨款" sheetId="7" r:id="rId8"/>
    <sheet name="7.政府采购" sheetId="8" r:id="rId9"/>
  </sheets>
  <definedNames>
    <definedName name="_xlnm._FilterDatabase" localSheetId="3" hidden="1">'2.总支出分科目'!$A$3:$G$27</definedName>
    <definedName name="_xlnm._FilterDatabase" localSheetId="4" hidden="1">'3.一般公共科目表'!$A$3:$N$27</definedName>
    <definedName name="_xlnm._FilterDatabase" localSheetId="6" hidden="1">'5.支出分项'!$A$4:$XFA$209</definedName>
    <definedName name="_xlnm._FilterDatabase" localSheetId="7" hidden="1">'6.经费拨款'!$A$4:$XFC$207</definedName>
    <definedName name="_xlnm._FilterDatabase" localSheetId="8" hidden="1">'7.政府采购'!$A$3:$IB$67</definedName>
    <definedName name="_xlnm.Print_Titles" localSheetId="1">'1.一般公共预算平衡'!$1:$4</definedName>
    <definedName name="_xlnm.Print_Titles" localSheetId="3">'2.总支出分科目'!$1:$3</definedName>
    <definedName name="_xlnm.Print_Titles" localSheetId="4">'3.一般公共科目表'!$1:$3</definedName>
    <definedName name="_xlnm.Print_Area" localSheetId="4">'3.一般公共科目表'!$A$1:$E$27</definedName>
    <definedName name="_xlnm.Print_Titles" localSheetId="6">'5.支出分项'!$1:$5</definedName>
    <definedName name="_xlnm.Print_Titles" localSheetId="7">'6.经费拨款'!$1:$5</definedName>
    <definedName name="_xlnm.Print_Area" localSheetId="7">'6.经费拨款'!$A$1:$G$207</definedName>
    <definedName name="_xlnm.Print_Titles" localSheetId="8">'7.政府采购'!$1:$3</definedName>
    <definedName name="_xlnm.Print_Titles" localSheetId="2">债券!$1:$3</definedName>
    <definedName name="_xlnm.Print_Area" localSheetId="1">'1.一般公共预算平衡'!$A$1:$H$30</definedName>
    <definedName name="_xlnm.Print_Area" localSheetId="8">'7.政府采购'!$A$1:$D$67</definedName>
    <definedName name="_xlnm.Print_Area" localSheetId="3">'2.总支出分科目'!$A$1:$G$27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sz val="9"/>
            <rFont val="宋体"/>
            <charset val="134"/>
          </rPr>
          <t>文昌中学建设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9"/>
            <rFont val="宋体"/>
            <charset val="134"/>
          </rPr>
          <t>社工部40万，数据局165万，人大35万</t>
        </r>
      </text>
    </comment>
    <comment ref="D8" authorId="0">
      <text>
        <r>
          <rPr>
            <sz val="9"/>
            <rFont val="宋体"/>
            <charset val="134"/>
          </rPr>
          <t>文昌中学建设</t>
        </r>
      </text>
    </comment>
    <comment ref="C11" authorId="0">
      <text>
        <r>
          <rPr>
            <sz val="9"/>
            <rFont val="宋体"/>
            <charset val="134"/>
          </rPr>
          <t>区级再就业、机关养老保险</t>
        </r>
      </text>
    </comment>
    <comment ref="D11" authorId="0">
      <text>
        <r>
          <rPr>
            <sz val="9"/>
            <rFont val="宋体"/>
            <charset val="134"/>
          </rPr>
          <t>企业职工养老保险配套（非税）</t>
        </r>
      </text>
    </comment>
    <comment ref="C12" authorId="0">
      <text>
        <r>
          <rPr>
            <sz val="9"/>
            <rFont val="宋体"/>
            <charset val="134"/>
          </rPr>
          <t xml:space="preserve">益阳市健康民生项目调整
</t>
        </r>
      </text>
    </comment>
    <comment ref="D14" authorId="0">
      <text>
        <r>
          <rPr>
            <sz val="9"/>
            <rFont val="宋体"/>
            <charset val="134"/>
          </rPr>
          <t>项目建设配套-2000万元</t>
        </r>
      </text>
    </comment>
    <comment ref="C15" authorId="0">
      <text>
        <r>
          <rPr>
            <sz val="9"/>
            <rFont val="宋体"/>
            <charset val="134"/>
          </rPr>
          <t>农业局
水利局：黄家湖泵站农排电费
巩固拓展脱贫攻坚成果示范园100万元</t>
        </r>
      </text>
    </comment>
    <comment ref="D15" authorId="0">
      <text>
        <r>
          <rPr>
            <sz val="9"/>
            <rFont val="宋体"/>
            <charset val="134"/>
          </rPr>
          <t xml:space="preserve">发展集团预计化债1000万
</t>
        </r>
      </text>
    </comment>
  </commentList>
</comments>
</file>

<file path=xl/sharedStrings.xml><?xml version="1.0" encoding="utf-8"?>
<sst xmlns="http://schemas.openxmlformats.org/spreadsheetml/2006/main" count="807" uniqueCount="411">
  <si>
    <t xml:space="preserve">  益阳市资阳区2O24年一般公共预算调整方案(草案) </t>
  </si>
  <si>
    <t>益阳市资阳区财政局编制</t>
  </si>
  <si>
    <t>2024年</t>
  </si>
  <si>
    <t>资阳区2024年一般公共预算收支平衡表</t>
  </si>
  <si>
    <t>单位：万元</t>
  </si>
  <si>
    <t>收              入</t>
  </si>
  <si>
    <t>支              出</t>
  </si>
  <si>
    <t>项               目</t>
  </si>
  <si>
    <t>年初预算</t>
  </si>
  <si>
    <t>调整预算</t>
  </si>
  <si>
    <t>较年初
预算变动情况</t>
  </si>
  <si>
    <t>一、一般公共预算地方收入</t>
  </si>
  <si>
    <t>一、一般公共预算支出</t>
  </si>
  <si>
    <t>二、上级补助收入</t>
  </si>
  <si>
    <t xml:space="preserve">    区级财力安排支出</t>
  </si>
  <si>
    <t xml:space="preserve">   1、返还性收入</t>
  </si>
  <si>
    <t xml:space="preserve">    上级提前下达专项用途的转移支付安排</t>
  </si>
  <si>
    <t xml:space="preserve">      消费税和增值税税收返还</t>
  </si>
  <si>
    <t xml:space="preserve">    新增一般债券支出</t>
  </si>
  <si>
    <t xml:space="preserve">      所得税基数返还</t>
  </si>
  <si>
    <t>二、上解支出</t>
  </si>
  <si>
    <t xml:space="preserve">        其他税收返还</t>
  </si>
  <si>
    <t xml:space="preserve">    体制上解</t>
  </si>
  <si>
    <t xml:space="preserve">   2、一般性转移支付收入</t>
  </si>
  <si>
    <t xml:space="preserve">    专项上解</t>
  </si>
  <si>
    <t xml:space="preserve">      均衡性转移支付补助</t>
  </si>
  <si>
    <t xml:space="preserve">    出口退税上解</t>
  </si>
  <si>
    <t xml:space="preserve">      县级基本财力保障机制奖补资金</t>
  </si>
  <si>
    <t>三、补充预算稳定调节基金</t>
  </si>
  <si>
    <t xml:space="preserve">      调整工资转移支付补助收入</t>
  </si>
  <si>
    <t>四、调出资金</t>
  </si>
  <si>
    <t xml:space="preserve">      农村税费改革补助收入</t>
  </si>
  <si>
    <t>五、 地方政府一般债券转贷支出</t>
  </si>
  <si>
    <t xml:space="preserve">      结算补助收入</t>
  </si>
  <si>
    <t>六、结转下年支出</t>
  </si>
  <si>
    <t xml:space="preserve">      农村综合改革转移支付收入</t>
  </si>
  <si>
    <t xml:space="preserve">      其他一般性转移支付收入</t>
  </si>
  <si>
    <t xml:space="preserve">      财力性转移支付增量</t>
  </si>
  <si>
    <t xml:space="preserve">      增值税留抵退税补助收入</t>
  </si>
  <si>
    <t xml:space="preserve">      市对区补助收入</t>
  </si>
  <si>
    <t xml:space="preserve">      专项用途一般性转移支付</t>
  </si>
  <si>
    <t xml:space="preserve">   3、专项转移支付收入</t>
  </si>
  <si>
    <t>三、地方政府一般债务转贷收入（新增债券）</t>
  </si>
  <si>
    <t>四、地方政府一般债务转贷收入（再融资债券）</t>
  </si>
  <si>
    <t>五、上年结转</t>
  </si>
  <si>
    <t>六、调入预算稳定调节基金</t>
  </si>
  <si>
    <t>七、调入资金</t>
  </si>
  <si>
    <t>一般公共预算收入合计</t>
  </si>
  <si>
    <t>一般公共预算支出合计</t>
  </si>
  <si>
    <t>备注：1.地方一般公共预算收入较年初预算调增5911万元；2.一般转移支付收入较年初预算调增34636万元，专项转移支付收入较年初预算调减22165万元；3.根据要求，地方政府一般债务转贷收入（新增债券）、地方政府一般债务转贷收入（再融资债券）纳入调整预算方案；4.一般公共预算支出较年初预算调增31465万元。</t>
  </si>
  <si>
    <t>资阳区2024年地方政府新增债券资金使用方案</t>
  </si>
  <si>
    <t>预算单位</t>
  </si>
  <si>
    <t>项           目</t>
  </si>
  <si>
    <t>金    额</t>
  </si>
  <si>
    <t>上级文号</t>
  </si>
  <si>
    <t>备    注</t>
  </si>
  <si>
    <t>益阳市资阳区公路养护中心</t>
  </si>
  <si>
    <t>农村公路</t>
  </si>
  <si>
    <t>湘财预[2024]0046号</t>
  </si>
  <si>
    <t>一般预算</t>
  </si>
  <si>
    <t>益阳市资阳区消防救援大队</t>
  </si>
  <si>
    <t>应急能力提升工程消防装备建设</t>
  </si>
  <si>
    <t>益阳市资阳区卫生健康局</t>
  </si>
  <si>
    <t>公共卫生体系建设</t>
  </si>
  <si>
    <t>益阳市资阳区教育局</t>
  </si>
  <si>
    <t>未成年人防溺水工作物防、技防设施建设</t>
  </si>
  <si>
    <t>益阳市资阳区财政局</t>
  </si>
  <si>
    <t>智慧城市建设</t>
  </si>
  <si>
    <t>基础设施建设</t>
  </si>
  <si>
    <t>益阳市资阳区住房和城乡建设局（各乡镇）</t>
  </si>
  <si>
    <t>乡镇社会事业建设“六个一”工程</t>
  </si>
  <si>
    <t>湘财预[2024]0185号</t>
  </si>
  <si>
    <t>文昌中学建设</t>
  </si>
  <si>
    <t>一般债券小计</t>
  </si>
  <si>
    <t>湖南益阳长春经济开发区管理委员会</t>
  </si>
  <si>
    <t>长春经开区PCB特色产业园配套基础设施建设项目</t>
  </si>
  <si>
    <t>基金预算</t>
  </si>
  <si>
    <t>黄家湖产业园基础设施配套项目</t>
  </si>
  <si>
    <t>益阳市资阳区住房和城乡建设局</t>
  </si>
  <si>
    <t>资阳区乡镇污水处理设施及配套管网建设项目</t>
  </si>
  <si>
    <t>益阳市资阳区第二人民医院建设项目</t>
  </si>
  <si>
    <t>益阳市资阳区文化旅游广电体育局</t>
  </si>
  <si>
    <t>益阳市大码头景区旅游配套基础设施建设项目（一期）</t>
  </si>
  <si>
    <t>资阳区全民健身中心项目</t>
  </si>
  <si>
    <t>益阳市资阳区发展集团</t>
  </si>
  <si>
    <t>资阳区乡镇水厂提质改造建设项目</t>
  </si>
  <si>
    <t>资阳区西片区城市更新建设项目</t>
  </si>
  <si>
    <t>益阳市资阳区农产品集散中心及配套附属工程建设项目</t>
  </si>
  <si>
    <t>湖南益阳长春经济开发区标准厂房建设项目(四期)项目</t>
  </si>
  <si>
    <t>益阳市创鑫建设投资有限公司</t>
  </si>
  <si>
    <t>长春经开区土地整治二期建设项目</t>
  </si>
  <si>
    <t>益阳市资阳区城镇建设开发投资有限公司</t>
  </si>
  <si>
    <t>资阳区村级综合服务平台建设项目</t>
  </si>
  <si>
    <t>益阳市资阳区新能源充电基础设施建设项目</t>
  </si>
  <si>
    <t>益阳市资阳区养老服务体系提升（一期）工程</t>
  </si>
  <si>
    <t>益阳市资阳区垃圾资源化综合利用项目</t>
  </si>
  <si>
    <t>益阳市资阳区妇幼保健院(益阳市资阳区儿童专科医院)</t>
  </si>
  <si>
    <t>益阳市资阳区妇幼保健院保健综合大楼建设项目</t>
  </si>
  <si>
    <t>益阳市资阳区2024年老旧小区综合提升改造项目</t>
  </si>
  <si>
    <t>益阳市资阳区城镇建设开发投资有限责任公司</t>
  </si>
  <si>
    <t>益阳市资阳区2016年城中村棚户区改造项目</t>
  </si>
  <si>
    <t>湘财预[2024]0328号</t>
  </si>
  <si>
    <t>资阳区村级综合服务平台</t>
  </si>
  <si>
    <t>益阳市资阳区城市建设投资开发有限公司</t>
  </si>
  <si>
    <t>益阳市资江两岸棚户区改造项目</t>
  </si>
  <si>
    <t>益阳市资阳区2017年城市棚户区改造项目一期</t>
  </si>
  <si>
    <t>益阳市资阳区2017年城市棚户区（城中村）改造项目二期</t>
  </si>
  <si>
    <t>益阳市长春经开区农村土地整治项目</t>
  </si>
  <si>
    <t>专项债券小计</t>
  </si>
  <si>
    <t>合计</t>
  </si>
  <si>
    <t>备注：上级文件要求按照预算法规定，新增债券资金用于公益性资本支出</t>
  </si>
  <si>
    <t>资阳区2024年公共财政预算支出分科目变动表</t>
  </si>
  <si>
    <t>支出功能分类科目</t>
  </si>
  <si>
    <t>变动额·1
（经费拨款）</t>
  </si>
  <si>
    <t>变动额·2
（纳入公共预算管理的非税
收入拨款）</t>
  </si>
  <si>
    <t>变动额·3
（一般债券）</t>
  </si>
  <si>
    <t>变动额·4
（专项用途的转移支付收入）</t>
  </si>
  <si>
    <t>序号</t>
  </si>
  <si>
    <t>201（一般公共服务支出）</t>
  </si>
  <si>
    <t>203（国防支出）</t>
  </si>
  <si>
    <t>204（公共安全支出)</t>
  </si>
  <si>
    <t>205（教育支出)</t>
  </si>
  <si>
    <t>206（科学技术支出)</t>
  </si>
  <si>
    <t>207（文化旅游体育与传媒支出)</t>
  </si>
  <si>
    <t>208（社会保障和就业支出)</t>
  </si>
  <si>
    <t>210（卫生健康支出)</t>
  </si>
  <si>
    <t>211（节能环保支出)</t>
  </si>
  <si>
    <t>212（城乡社区支出)</t>
  </si>
  <si>
    <t>213（农林水支出)</t>
  </si>
  <si>
    <t>214（交通运输支出)</t>
  </si>
  <si>
    <t>215（资源勘探工业信息等支出)</t>
  </si>
  <si>
    <t>216（商业服务业等支出)</t>
  </si>
  <si>
    <t>217（金融支出）</t>
  </si>
  <si>
    <t>220（自然资源海洋气象等支出)</t>
  </si>
  <si>
    <t>221（住房保障支出)</t>
  </si>
  <si>
    <t>222（粮油物资储备支出)</t>
  </si>
  <si>
    <t>224（灾害防治及应急管理支出)</t>
  </si>
  <si>
    <t>227（预备费)</t>
  </si>
  <si>
    <t>229（其他支出)</t>
  </si>
  <si>
    <t>232（债务付息支出)</t>
  </si>
  <si>
    <t xml:space="preserve">  合    计</t>
  </si>
  <si>
    <t>资阳区2024年地方财政一般公共财政预算支出分科目变动表</t>
  </si>
  <si>
    <t>变动额·2
（纳入公共预算管理的非税收入拨款）</t>
  </si>
  <si>
    <t>资阳区2024年本级上年结转专项支出分科目明细表</t>
  </si>
  <si>
    <t>本级上年结转</t>
  </si>
  <si>
    <t>204(公共安全支出)</t>
  </si>
  <si>
    <t>206（科技支出)</t>
  </si>
  <si>
    <t>207(文化旅游支出)</t>
  </si>
  <si>
    <t>211（环保支出）</t>
  </si>
  <si>
    <t>222（粮油物资储备支出）</t>
  </si>
  <si>
    <t>224（灾害防治及应急管理支出）</t>
  </si>
  <si>
    <t>229（其他支出）</t>
  </si>
  <si>
    <t>合    计</t>
  </si>
  <si>
    <t xml:space="preserve">  资阳区2024年一般公共预算支出分项安排表</t>
  </si>
  <si>
    <t>单       位</t>
  </si>
  <si>
    <t>预算调整增减数</t>
  </si>
  <si>
    <t>专项用途
转移支付
拨款</t>
  </si>
  <si>
    <t>备    注
（项目支出调整情况）</t>
  </si>
  <si>
    <t>合计
(2=3+4+5)</t>
  </si>
  <si>
    <t>经费拨款</t>
  </si>
  <si>
    <t>纳入公共预算管理的非税收入拨款</t>
  </si>
  <si>
    <t>新增一般
债券</t>
  </si>
  <si>
    <t>合       计</t>
  </si>
  <si>
    <t>中共益阳市资阳区委办公室</t>
  </si>
  <si>
    <t>益阳市资阳区人民代表大会常务委员会</t>
  </si>
  <si>
    <t>人代会会务费35万元</t>
  </si>
  <si>
    <t>益阳市资阳区人民政府办公室</t>
  </si>
  <si>
    <t>政协益阳市资阳区委员会办公室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</si>
  <si>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</si>
  <si>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</si>
  <si>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</si>
  <si>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</si>
  <si>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</si>
  <si>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益阳市资阳区司法局</t>
  </si>
  <si>
    <t>益阳市资阳区审计局</t>
  </si>
  <si>
    <t>益阳市资阳区统计局</t>
  </si>
  <si>
    <t>益阳市资阳区信访局</t>
  </si>
  <si>
    <t>益阳市资阳区机关事务服务中心</t>
  </si>
  <si>
    <t>益阳市资阳区数据局</t>
  </si>
  <si>
    <t>“湘易办”和“一网通办”迭代升级70万元、数据资源20万元、全区网络安全10万元、运转经费20万元</t>
  </si>
  <si>
    <t>中共益阳市资阳区委机构编制委员会办公室</t>
  </si>
  <si>
    <t>益阳市资阳区档案馆</t>
  </si>
  <si>
    <t>益阳市资阳区接待服务中心</t>
  </si>
  <si>
    <t>益阳市资阳区工商业联合会</t>
  </si>
  <si>
    <t>益阳市资阳区妇女联合会</t>
  </si>
  <si>
    <t>中国共产主义青年团益阳市资阳区委员会</t>
  </si>
  <si>
    <t>工作经费</t>
  </si>
  <si>
    <t>益阳市资阳区科学技术局</t>
  </si>
  <si>
    <t>益阳市资阳区科学技术协会</t>
  </si>
  <si>
    <t>益阳市资阳区图书馆</t>
  </si>
  <si>
    <t>益阳市资阳区文化馆</t>
  </si>
  <si>
    <t>益阳市花鼓戏剧团有限公司</t>
  </si>
  <si>
    <t>教师培训费</t>
  </si>
  <si>
    <t>资阳区教育发展中心</t>
  </si>
  <si>
    <t>益阳市资阳区教育招生考试中心</t>
  </si>
  <si>
    <t>益阳市实验小学</t>
  </si>
  <si>
    <t>益阳市资阳区三益小学</t>
  </si>
  <si>
    <t>益阳市石码头小学</t>
  </si>
  <si>
    <t>益阳市人民路小学</t>
  </si>
  <si>
    <t>益阳市汽车路小学</t>
  </si>
  <si>
    <t>益阳市第六中学初中部</t>
  </si>
  <si>
    <t>益阳市第三中学</t>
  </si>
  <si>
    <t>资阳区迎风桥镇中心学校</t>
  </si>
  <si>
    <t>资阳区新桥河镇中心学校</t>
  </si>
  <si>
    <t>资阳区长春镇中心学校</t>
  </si>
  <si>
    <t>资阳区长春经济开发区中心学校</t>
  </si>
  <si>
    <t>资阳区茈湖口镇中心学校</t>
  </si>
  <si>
    <t>资阳区沙头镇中心学校</t>
  </si>
  <si>
    <t>资阳区张家塞乡中心学校</t>
  </si>
  <si>
    <t>益阳市国基实验学校</t>
  </si>
  <si>
    <t>益阳市第九中学</t>
  </si>
  <si>
    <t>益阳市第六中学</t>
  </si>
  <si>
    <t>益阳市第十四中学</t>
  </si>
  <si>
    <t>益阳市第一职业中专学校</t>
  </si>
  <si>
    <t>益阳市资阳区中心幼儿园</t>
  </si>
  <si>
    <t>益阳市资阳区第一幼儿园</t>
  </si>
  <si>
    <t>益阳市资阳区五福路小学</t>
  </si>
  <si>
    <t>资阳区马良学校</t>
  </si>
  <si>
    <t>资阳区迎风学校</t>
  </si>
  <si>
    <t>益阳市资阳区国有土地上房屋征收与补偿工作办公室</t>
  </si>
  <si>
    <t>益阳市资阳区文学艺术界联合会</t>
  </si>
  <si>
    <t>益阳市资阳区人力资源和社会保障局</t>
  </si>
  <si>
    <t>益阳市资阳区就业服务中心</t>
  </si>
  <si>
    <t>益阳市资阳区社会保险服务中心</t>
  </si>
  <si>
    <t>民政代管退休人员经费</t>
  </si>
  <si>
    <t>益阳市资阳区医疗保障局</t>
  </si>
  <si>
    <t>益阳市资阳区医疗保障事务中心</t>
  </si>
  <si>
    <t>益阳市资阳区民政局</t>
  </si>
  <si>
    <t>民福商贸城消防安全整治工作经费200万元，重度残疾人护理补贴-0.89万元，重度残疾人生活补贴5.68万元</t>
  </si>
  <si>
    <t>益阳市资阳区社区服务总站</t>
  </si>
  <si>
    <t>益阳市资阳区社会福利院</t>
  </si>
  <si>
    <t>益阳市资阳区未成年人救助保护中心</t>
  </si>
  <si>
    <t>益阳市资阳区残疾人联合会</t>
  </si>
  <si>
    <t>人口监测经费0.18万元，农村奖扶0.9万元，特别扶助-7.66万元，独生子女保健费-0.22万元，手术并发症补助-3.68万元，两扶人员医保-0.07万元，独生子女父母奖励-99.83万元</t>
  </si>
  <si>
    <t>益阳市资阳区卫生健康综合监督执法局</t>
  </si>
  <si>
    <t>益阳市中医医院</t>
  </si>
  <si>
    <t>益阳市资阳区疾病预防控制中心</t>
  </si>
  <si>
    <t>益阳市资阳区血吸虫病防治站</t>
  </si>
  <si>
    <t>益阳市资阳区大潭口血防站</t>
  </si>
  <si>
    <t>益阳市刘家湖血防站</t>
  </si>
  <si>
    <t>益阳市资阳区妇幼保健院（益阳市资阳区儿童专科医院）</t>
  </si>
  <si>
    <t>益阳市资阳区脑科医院</t>
  </si>
  <si>
    <t>益阳市资阳区基层医疗卫生机构</t>
  </si>
  <si>
    <t>基本公共卫生配套-72.67万元，益阳市健康民生项目-64.07万元</t>
  </si>
  <si>
    <t>益阳市资阳区市场监督管理局</t>
  </si>
  <si>
    <t>益阳市资阳区退役军人事务局</t>
  </si>
  <si>
    <t>伤残军人护理费16.47万元，优抚对象城乡居民医保参保缴费86.61万元，“两类人员”生活补助经费63.66万元，义务兵家庭优待金29.79万元</t>
  </si>
  <si>
    <t>益阳市资阳区红十字会</t>
  </si>
  <si>
    <t>益阳市资阳区总工会</t>
  </si>
  <si>
    <t>益阳市资阳区工人文化宫</t>
  </si>
  <si>
    <t>多层住宅增设电梯项目奖补配套资金30万元，自建房安全专项整治工作经费8万元，保障、弃管小区居民电动车充电电费补贴4万元</t>
  </si>
  <si>
    <t>益阳市资阳区村镇建设事务中心</t>
  </si>
  <si>
    <t>益阳市资阳区住房保障管理中心</t>
  </si>
  <si>
    <t>益阳市资阳区城区公共房屋管理所</t>
  </si>
  <si>
    <t>益阳市资阳区供销合作社联合社</t>
  </si>
  <si>
    <t>益阳市资阳区发展和改革局</t>
  </si>
  <si>
    <t>益阳市资阳区城市管理和综合执法局</t>
  </si>
  <si>
    <t>园林绿化管护摸排整改工作经费</t>
  </si>
  <si>
    <t>益阳市资阳区环境卫生服务中心</t>
  </si>
  <si>
    <t>益阳市资阳区城市管理和综合执法局直属二大队</t>
  </si>
  <si>
    <t>益阳市资阳区交通运输局</t>
  </si>
  <si>
    <t>益阳市资阳区公路建设养护中心</t>
  </si>
  <si>
    <t>益阳市资阳区自然资源局</t>
  </si>
  <si>
    <t>益阳市资阳区农村经济经营服务站</t>
  </si>
  <si>
    <t>村社分账专项9.43万元，社会化服务专项10.82万元</t>
  </si>
  <si>
    <t>益阳市资阳区水利局</t>
  </si>
  <si>
    <t>饮用水源地工程EPC项目、水利救灾、黄家湖泵站农排电费等专项经费</t>
  </si>
  <si>
    <t>益阳市资阳区综合水利管理站</t>
  </si>
  <si>
    <t>益阳市资阳区农业农村局</t>
  </si>
  <si>
    <t>第三次全国土壤普查工作经费120万元，粮食生产、人居环境整治等专项经费1393.099341万元，高标准农田建设1395万元</t>
  </si>
  <si>
    <t>益阳市资阳区畜牧水产事务中心</t>
  </si>
  <si>
    <t>禁捕启动式经费9.66万元，渔业补助和渔业流放资金125万元，涉渔工程渔业生态补偿资金106.5万元</t>
  </si>
  <si>
    <t>益阳市资阳区特种养殖实验场</t>
  </si>
  <si>
    <t>益阳市资阳区家畜疫病防治检疫站</t>
  </si>
  <si>
    <t>益阳市资阳区林业局</t>
  </si>
  <si>
    <t>林业专项</t>
  </si>
  <si>
    <t>益阳市资阳区农机事务中心</t>
  </si>
  <si>
    <t>现代农机合作社建设</t>
  </si>
  <si>
    <t>益阳市资阳区乡村振兴局</t>
  </si>
  <si>
    <t>益阳南洞庭湖自然保护区资阳区管理局</t>
  </si>
  <si>
    <t>益阳市资阳区工业和信息化局</t>
  </si>
  <si>
    <t>运行经费</t>
  </si>
  <si>
    <t>益阳市资阳区商务局</t>
  </si>
  <si>
    <t>资阳区长春镇人民政府</t>
  </si>
  <si>
    <t>拆迁经费</t>
  </si>
  <si>
    <t>资阳区迎风桥镇人民政府</t>
  </si>
  <si>
    <t>滞留境外涉诈高危人员劝返补贴费用</t>
  </si>
  <si>
    <t>资阳区新桥河镇人民政府</t>
  </si>
  <si>
    <t>滞留境外涉诈高危人员劝返补贴费用6万元，运转资金19.2万元</t>
  </si>
  <si>
    <t>资阳区沙头镇人民政府</t>
  </si>
  <si>
    <t>滞留境外涉诈高危人员劝返补贴费用6万元，人居环境整治资金4.9万元</t>
  </si>
  <si>
    <t>资阳区茈湖口镇人民政府</t>
  </si>
  <si>
    <t>滞留境外涉诈高危人员劝返补贴费用3万元，资江入洞庭湖流域左岸水生态修复工程124.932万元</t>
  </si>
  <si>
    <t>资阳区张家塞乡人民政府</t>
  </si>
  <si>
    <t>滞留境外涉诈高危人员劝返补贴费用9万元，运转经费12.9万元</t>
  </si>
  <si>
    <t>益阳市大码头街道办事处</t>
  </si>
  <si>
    <t>运转经费14万元</t>
  </si>
  <si>
    <t>益阳市汽车路街道办事处</t>
  </si>
  <si>
    <t>运转经费4.6万元</t>
  </si>
  <si>
    <t>运转经费47.65万元，丰堆仑革命遗址红色教育基地40.35万元</t>
  </si>
  <si>
    <t>资阳区省级农业科技园区管理委员会</t>
  </si>
  <si>
    <t>运转资金7.3万元</t>
  </si>
  <si>
    <t>益阳市资阳区应急管理局</t>
  </si>
  <si>
    <t>中国人民解放军湖南省益阳军分区保障处</t>
  </si>
  <si>
    <t>益阳市公安局资阳分局</t>
  </si>
  <si>
    <t>消防智慧平台通信费10万元，应急项目调整至一般债券列支</t>
  </si>
  <si>
    <t>益阳市资阳区财政局社会保障基金财政专户</t>
  </si>
  <si>
    <t>医保补助经费及医疗救助6.423万元，企业职工养老保险配套-150万元，城乡居民养老保险104.22万元，城乡居民残困人员代缴86.78万元，机关事业单位养老保险基金补助-1200万元，企业职工养老保险配套（非税）-2000万元</t>
  </si>
  <si>
    <t>国家统计局资阳区调查队</t>
  </si>
  <si>
    <t>中国人民武装警察部队益阳支队</t>
  </si>
  <si>
    <t>湖南省益阳市气象局</t>
  </si>
  <si>
    <t>益阳市资阳区经济建设促进会</t>
  </si>
  <si>
    <t>湖南省益阳水文水资源勘测中心</t>
  </si>
  <si>
    <t>益阳市资阳区禁毒协会</t>
  </si>
  <si>
    <t>益阳市资阳区老科学技术工作者协会</t>
  </si>
  <si>
    <t>益阳市资阳区税收协控联管工作领导小组办公室</t>
  </si>
  <si>
    <t>益阳市资阳区教育基金会</t>
  </si>
  <si>
    <t>益阳市资阳区良种场</t>
  </si>
  <si>
    <t>湖南省农业信贷融资担保有限公司益阳市分公司</t>
  </si>
  <si>
    <t>国家税务总局益阳市资阳区税务局</t>
  </si>
  <si>
    <t>益阳市资阳区人民法院</t>
  </si>
  <si>
    <t>益阳市资阳区人民检察院</t>
  </si>
  <si>
    <t>中共益阳市资阳区委社会工作部</t>
  </si>
  <si>
    <t>基层治理和基层政权建设工作8万元，两新工委工作6万元，人民建议征集工作3万元，志愿服务和社会工作服务3万元，固定资产添置经费20万元</t>
  </si>
  <si>
    <t>预算专项</t>
  </si>
  <si>
    <t>年初—PCB产业引导</t>
  </si>
  <si>
    <t>年初—“三高四新”财源建设</t>
  </si>
  <si>
    <t>年初—“一事一议”工作经费</t>
  </si>
  <si>
    <t>年初—“一事一议”配套</t>
  </si>
  <si>
    <t>年初—安全生产专项经费</t>
  </si>
  <si>
    <t>年初—安全生产专项整治三年行动及交通顽瘴顽疾整治专项</t>
  </si>
  <si>
    <t>年初—产业引导基金</t>
  </si>
  <si>
    <t>年初—偿债准备金</t>
  </si>
  <si>
    <t>年初—城区高清摄像头维护</t>
  </si>
  <si>
    <t>年初—村集体经济发展</t>
  </si>
  <si>
    <t>年初—地方政府债券付息</t>
  </si>
  <si>
    <t>年初—扶持企业上市资金</t>
  </si>
  <si>
    <t>年初—环境保护</t>
  </si>
  <si>
    <t>年初—会议费（经济工作会议等）</t>
  </si>
  <si>
    <t>年初—基础设施建设（含棚改资金）</t>
  </si>
  <si>
    <t>年初—绩效考核奖励</t>
  </si>
  <si>
    <t>预算单位在职人员绩效奖励调整至基本支出</t>
  </si>
  <si>
    <t>年初—均衡转移支付上级分配支出</t>
  </si>
  <si>
    <t>年初—科技创新帮扶奖励基金</t>
  </si>
  <si>
    <t>年初—垃圾分类</t>
  </si>
  <si>
    <t>年初—老旧小区改造</t>
  </si>
  <si>
    <t>年初—粮食风险金</t>
  </si>
  <si>
    <t>年初—六个一工程</t>
  </si>
  <si>
    <t>调整至一般债券列支项目</t>
  </si>
  <si>
    <t>年初—旅游发展专项资金</t>
  </si>
  <si>
    <t>年初—农村房屋不动产、“三规合一”、村庄规划</t>
  </si>
  <si>
    <t>年初—农民补贴网</t>
  </si>
  <si>
    <t>年初—农业保险区级配套</t>
  </si>
  <si>
    <t>年初—企业高端人才引进</t>
  </si>
  <si>
    <t>年初—企业军转干</t>
  </si>
  <si>
    <t>年初—桥北大市场物业管理</t>
  </si>
  <si>
    <t>年初—人才引进</t>
  </si>
  <si>
    <t>年初—扫黑除恶专项经费</t>
  </si>
  <si>
    <t>年初—事业场所税费改革转支</t>
  </si>
  <si>
    <t>年初—收入完成目标奖励</t>
  </si>
  <si>
    <t>年初—税务稽查办案</t>
  </si>
  <si>
    <t>年初—统计基层基础工作经费奖补</t>
  </si>
  <si>
    <t>年初—投资评审业务费</t>
  </si>
  <si>
    <t>年初—乡村振兴</t>
  </si>
  <si>
    <t>年初—乡村振兴衔接资金</t>
  </si>
  <si>
    <t>年初—乡镇财政建设经费</t>
  </si>
  <si>
    <t>年初—乡镇污水处理</t>
  </si>
  <si>
    <t>年初—乡镇消防应急能力建设</t>
  </si>
  <si>
    <t>年初—项目建设配套</t>
  </si>
  <si>
    <t>年初—小额担保贷款贴息</t>
  </si>
  <si>
    <t>年初—雪亮工程</t>
  </si>
  <si>
    <t>年初—一次性抚恤</t>
  </si>
  <si>
    <t>年初—一体化建设</t>
  </si>
  <si>
    <t>年初—预算审查专项经费</t>
  </si>
  <si>
    <t>年初—再就业区级配套</t>
  </si>
  <si>
    <t>年初—征管经费（财政）</t>
  </si>
  <si>
    <t>年初—征管经费（其他）</t>
  </si>
  <si>
    <t>年初—政府采购专项经费</t>
  </si>
  <si>
    <t>年初—政府中心工作及立项争资</t>
  </si>
  <si>
    <t>年初—重点民生项目</t>
  </si>
  <si>
    <t>年初—住房公积金发展基金</t>
  </si>
  <si>
    <t>年初—自然晋级、晋档等调资</t>
  </si>
  <si>
    <t>年初—自然晋级、晋档等调资1</t>
  </si>
  <si>
    <t>预算单位在职人员增人增资调整至基本支出</t>
  </si>
  <si>
    <t>年初—自然晋级、晋档等调资2</t>
  </si>
  <si>
    <t>年初—自收自支人员经费</t>
  </si>
  <si>
    <t>预算单位自收自支人员经费调整至基本支出</t>
  </si>
  <si>
    <t>年初“一标三实”经费</t>
  </si>
  <si>
    <t>年初—室内体育场馆维护</t>
  </si>
  <si>
    <t>年初—三园基础设施配套项目</t>
  </si>
  <si>
    <t>预备费</t>
  </si>
  <si>
    <t>其他单位项目支出</t>
  </si>
  <si>
    <t>债务化解11809万元，渔场经营权盘活工作经费105万元，棚改工作经费80万元，房地产发展领导小组工作经费9.8万元，其他一般债券安排支出1354万元，巩固拓展脱贫攻坚成果示范园100万元，其他单位支出63.66万元</t>
  </si>
  <si>
    <t>专项用途的转移支付</t>
  </si>
  <si>
    <t>资阳区2024年一般公共财政拨款预算支出分项安排表（经费拨款）</t>
  </si>
  <si>
    <t>单位:万元</t>
  </si>
  <si>
    <t>单位名称</t>
  </si>
  <si>
    <t>调整预算（5=1+2）</t>
  </si>
  <si>
    <t>合计（2=3+4）</t>
  </si>
  <si>
    <t>基本支出</t>
  </si>
  <si>
    <t>项目支出</t>
  </si>
  <si>
    <t>2</t>
  </si>
  <si>
    <t>3</t>
  </si>
  <si>
    <t>4</t>
  </si>
  <si>
    <t>合  计</t>
  </si>
  <si>
    <t>消防智慧平台通信费10万元</t>
  </si>
  <si>
    <t>医保补助经费及医疗救助6.423万元，企业职工养老保险配套-150万元，城乡居民养老保险104.22万元，城乡居民残困人员代缴86.78万元，机关事业单位养老保险基金补助-1200万元</t>
  </si>
  <si>
    <t>债务化解4720万元，巩固拓展脱贫攻坚成果示范园100万元，其他单位支出63.66万元</t>
  </si>
  <si>
    <t>资阳区2024年政府采购预算调整表</t>
  </si>
  <si>
    <t>调整变动</t>
  </si>
  <si>
    <t>调整后预算数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</si>
</sst>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\(0\)"/>
  </numFmts>
  <fonts count="39">
    <font>
      <sz val="11"/>
      <color indexed="8"/>
      <name val="宋体"/>
      <charset val="1"/>
      <scheme val="minor"/>
    </font>
    <font>
      <sz val="18"/>
      <name val="方正小标宋简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8"/>
      <name val="方正小标宋简体"/>
      <charset val="134"/>
    </font>
    <font>
      <sz val="9"/>
      <color indexed="8"/>
      <name val="宋体"/>
      <charset val="1"/>
      <scheme val="major"/>
    </font>
    <font>
      <sz val="18"/>
      <color indexed="8"/>
      <name val="方正小标宋简体"/>
      <charset val="1"/>
    </font>
    <font>
      <sz val="9"/>
      <color indexed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b/>
      <sz val="26"/>
      <name val="黑体"/>
      <charset val="134"/>
    </font>
    <font>
      <b/>
      <sz val="20"/>
      <name val="黑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/>
    <xf numFmtId="0" fontId="37" fillId="0" borderId="0"/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49" fontId="2" fillId="0" borderId="1" xfId="51" applyNumberFormat="1" applyFont="1" applyFill="1" applyBorder="1" applyAlignment="1" applyProtection="1">
      <alignment horizontal="left" vertical="center" wrapText="1"/>
    </xf>
    <xf numFmtId="176" fontId="2" fillId="0" borderId="1" xfId="49" applyNumberFormat="1" applyFont="1" applyFill="1" applyBorder="1" applyAlignment="1" applyProtection="1">
      <alignment horizontal="right" vertical="center" wrapText="1"/>
    </xf>
    <xf numFmtId="176" fontId="2" fillId="0" borderId="1" xfId="49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/>
    <xf numFmtId="176" fontId="2" fillId="0" borderId="0" xfId="49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2" fillId="0" borderId="6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57" fontId="2" fillId="0" borderId="0" xfId="5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57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5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1"/>
  <sheetViews>
    <sheetView workbookViewId="0">
      <selection activeCell="G32" sqref="G32"/>
    </sheetView>
  </sheetViews>
  <sheetFormatPr defaultColWidth="9" defaultRowHeight="14.25"/>
  <cols>
    <col min="1" max="5" width="9" style="100"/>
    <col min="6" max="6" width="15.75" style="100"/>
    <col min="7" max="9" width="9" style="100"/>
    <col min="10" max="10" width="27.375" style="100" customWidth="1"/>
    <col min="11" max="16384" width="9" style="100"/>
  </cols>
  <sheetData>
    <row r="2" spans="10:10">
      <c r="J2" s="108"/>
    </row>
    <row r="3" spans="10:10">
      <c r="J3" s="108"/>
    </row>
    <row r="6" ht="46.5" spans="5:9">
      <c r="E6" s="101"/>
      <c r="F6" s="101"/>
      <c r="G6" s="101"/>
      <c r="H6" s="101"/>
      <c r="I6" s="101"/>
    </row>
    <row r="9" ht="33.75" customHeight="1" spans="2:10">
      <c r="B9" s="102" t="s">
        <v>0</v>
      </c>
      <c r="C9" s="102"/>
      <c r="D9" s="102"/>
      <c r="E9" s="102"/>
      <c r="F9" s="102"/>
      <c r="G9" s="102"/>
      <c r="H9" s="102"/>
      <c r="I9" s="102"/>
      <c r="J9" s="102"/>
    </row>
    <row r="11" ht="25.5" spans="6:6">
      <c r="F11" s="103"/>
    </row>
    <row r="18" spans="5:9">
      <c r="E18" s="104" t="s">
        <v>1</v>
      </c>
      <c r="F18" s="104"/>
      <c r="G18" s="104"/>
      <c r="H18" s="104"/>
      <c r="I18" s="104"/>
    </row>
    <row r="19" spans="5:9">
      <c r="E19" s="105" t="s">
        <v>2</v>
      </c>
      <c r="F19" s="104"/>
      <c r="G19" s="104"/>
      <c r="H19" s="104"/>
      <c r="I19" s="104"/>
    </row>
    <row r="20" ht="22.5" spans="6:6">
      <c r="F20" s="106"/>
    </row>
    <row r="21" ht="20.25" spans="6:6">
      <c r="F21" s="107"/>
    </row>
  </sheetData>
  <mergeCells count="4">
    <mergeCell ref="E6:I6"/>
    <mergeCell ref="B9:J9"/>
    <mergeCell ref="E18:I18"/>
    <mergeCell ref="E19:I19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1.25"/>
  <cols>
    <col min="1" max="1" width="35.125" style="89" customWidth="1"/>
    <col min="2" max="2" width="11.5" style="6" customWidth="1"/>
    <col min="3" max="4" width="10.625" style="6" customWidth="1"/>
    <col min="5" max="5" width="36.25" style="6" customWidth="1"/>
    <col min="6" max="8" width="10.625" style="6" customWidth="1"/>
    <col min="9" max="16380" width="9" style="6"/>
    <col min="16381" max="16384" width="9" style="20"/>
  </cols>
  <sheetData>
    <row r="1" s="19" customFormat="1" ht="27" customHeight="1" spans="1:16384">
      <c r="A1" s="90" t="s">
        <v>3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36"/>
      <c r="XFB1" s="36"/>
      <c r="XFC1" s="36"/>
      <c r="XFD1" s="36"/>
    </row>
    <row r="2" s="6" customFormat="1" ht="15" customHeight="1" spans="1:8">
      <c r="A2" s="89"/>
      <c r="C2" s="63"/>
      <c r="D2" s="63"/>
      <c r="E2" s="63"/>
      <c r="G2" s="25"/>
      <c r="H2" s="91" t="s">
        <v>4</v>
      </c>
    </row>
    <row r="3" s="6" customFormat="1" ht="25" customHeight="1" spans="1:8">
      <c r="A3" s="92" t="s">
        <v>5</v>
      </c>
      <c r="B3" s="93"/>
      <c r="C3" s="93"/>
      <c r="D3" s="94"/>
      <c r="E3" s="26" t="s">
        <v>6</v>
      </c>
      <c r="F3" s="26"/>
      <c r="G3" s="26"/>
      <c r="H3" s="26"/>
    </row>
    <row r="4" s="89" customFormat="1" ht="25" customHeight="1" spans="1:8">
      <c r="A4" s="56" t="s">
        <v>7</v>
      </c>
      <c r="B4" s="56" t="s">
        <v>8</v>
      </c>
      <c r="C4" s="56" t="s">
        <v>9</v>
      </c>
      <c r="D4" s="56" t="s">
        <v>10</v>
      </c>
      <c r="E4" s="26" t="s">
        <v>7</v>
      </c>
      <c r="F4" s="56" t="s">
        <v>8</v>
      </c>
      <c r="G4" s="56" t="s">
        <v>9</v>
      </c>
      <c r="H4" s="56" t="s">
        <v>10</v>
      </c>
    </row>
    <row r="5" s="6" customFormat="1" ht="25" customHeight="1" spans="1:8">
      <c r="A5" s="95" t="s">
        <v>11</v>
      </c>
      <c r="B5" s="96">
        <v>52267</v>
      </c>
      <c r="C5" s="96">
        <v>58178</v>
      </c>
      <c r="D5" s="96">
        <f t="shared" ref="D5:D10" si="0">C5-B5</f>
        <v>5911</v>
      </c>
      <c r="E5" s="95" t="s">
        <v>12</v>
      </c>
      <c r="F5" s="96">
        <f>F6+F7+F8</f>
        <v>297006</v>
      </c>
      <c r="G5" s="96">
        <f>G6+G7+G8</f>
        <v>328471</v>
      </c>
      <c r="H5" s="96">
        <f>G5-F5</f>
        <v>31465</v>
      </c>
    </row>
    <row r="6" s="6" customFormat="1" ht="25" customHeight="1" spans="1:8">
      <c r="A6" s="95" t="s">
        <v>13</v>
      </c>
      <c r="B6" s="96">
        <f>B7+B11+B23</f>
        <v>224906</v>
      </c>
      <c r="C6" s="96">
        <f>C7+C11+C23</f>
        <v>237377</v>
      </c>
      <c r="D6" s="96">
        <f t="shared" si="0"/>
        <v>12471</v>
      </c>
      <c r="E6" s="95" t="s">
        <v>14</v>
      </c>
      <c r="F6" s="96">
        <v>190486</v>
      </c>
      <c r="G6" s="96">
        <f>'3.一般公共科目表'!E27</f>
        <v>205165</v>
      </c>
      <c r="H6" s="96">
        <f t="shared" ref="H5:H9" si="1">G6-F6</f>
        <v>14679</v>
      </c>
    </row>
    <row r="7" s="6" customFormat="1" ht="25" customHeight="1" spans="1:8">
      <c r="A7" s="95" t="s">
        <v>15</v>
      </c>
      <c r="B7" s="96">
        <f>B8+B9+B10</f>
        <v>4693</v>
      </c>
      <c r="C7" s="96">
        <f>C8+C9+C10</f>
        <v>4693</v>
      </c>
      <c r="D7" s="96">
        <f t="shared" si="0"/>
        <v>0</v>
      </c>
      <c r="E7" s="95" t="s">
        <v>16</v>
      </c>
      <c r="F7" s="96">
        <v>106520</v>
      </c>
      <c r="G7" s="96">
        <v>119006</v>
      </c>
      <c r="H7" s="96">
        <f t="shared" si="1"/>
        <v>12486</v>
      </c>
    </row>
    <row r="8" s="6" customFormat="1" ht="25" customHeight="1" spans="1:8">
      <c r="A8" s="95" t="s">
        <v>17</v>
      </c>
      <c r="B8" s="96">
        <v>1641</v>
      </c>
      <c r="C8" s="96">
        <v>1641</v>
      </c>
      <c r="D8" s="96">
        <f t="shared" si="0"/>
        <v>0</v>
      </c>
      <c r="E8" s="95" t="s">
        <v>18</v>
      </c>
      <c r="F8" s="96"/>
      <c r="G8" s="96">
        <f>'2.总支出分科目'!E27</f>
        <v>4300</v>
      </c>
      <c r="H8" s="96">
        <f t="shared" si="1"/>
        <v>4300</v>
      </c>
    </row>
    <row r="9" s="6" customFormat="1" ht="25" customHeight="1" spans="1:8">
      <c r="A9" s="95" t="s">
        <v>19</v>
      </c>
      <c r="B9" s="96">
        <v>492</v>
      </c>
      <c r="C9" s="96">
        <v>492</v>
      </c>
      <c r="D9" s="96">
        <f t="shared" si="0"/>
        <v>0</v>
      </c>
      <c r="E9" s="95" t="s">
        <v>20</v>
      </c>
      <c r="F9" s="96">
        <f>SUM(F10:F12)</f>
        <v>9331</v>
      </c>
      <c r="G9" s="96">
        <f>SUM(G10:G12)</f>
        <v>9331</v>
      </c>
      <c r="H9" s="96">
        <f t="shared" si="1"/>
        <v>0</v>
      </c>
    </row>
    <row r="10" s="6" customFormat="1" ht="25" customHeight="1" spans="1:8">
      <c r="A10" s="95" t="s">
        <v>21</v>
      </c>
      <c r="B10" s="96">
        <v>2560</v>
      </c>
      <c r="C10" s="96">
        <v>2560</v>
      </c>
      <c r="D10" s="96">
        <f t="shared" si="0"/>
        <v>0</v>
      </c>
      <c r="E10" s="95" t="s">
        <v>22</v>
      </c>
      <c r="F10" s="96"/>
      <c r="G10" s="96"/>
      <c r="H10" s="96"/>
    </row>
    <row r="11" s="6" customFormat="1" ht="25" customHeight="1" spans="1:8">
      <c r="A11" s="95" t="s">
        <v>23</v>
      </c>
      <c r="B11" s="96">
        <f>SUM(B12:B22)</f>
        <v>177713</v>
      </c>
      <c r="C11" s="96">
        <f>SUM(C12:C22)</f>
        <v>212349</v>
      </c>
      <c r="D11" s="96">
        <f t="shared" ref="D11:D17" si="2">C11-B11</f>
        <v>34636</v>
      </c>
      <c r="E11" s="95" t="s">
        <v>24</v>
      </c>
      <c r="F11" s="96">
        <v>8872</v>
      </c>
      <c r="G11" s="96">
        <v>8872</v>
      </c>
      <c r="H11" s="96">
        <f t="shared" ref="H11:H16" si="3">G11-F11</f>
        <v>0</v>
      </c>
    </row>
    <row r="12" s="6" customFormat="1" ht="25" customHeight="1" spans="1:8">
      <c r="A12" s="95" t="s">
        <v>25</v>
      </c>
      <c r="B12" s="96">
        <v>35947</v>
      </c>
      <c r="C12" s="96">
        <v>54659</v>
      </c>
      <c r="D12" s="96">
        <f t="shared" si="2"/>
        <v>18712</v>
      </c>
      <c r="E12" s="95" t="s">
        <v>26</v>
      </c>
      <c r="F12" s="96">
        <v>459</v>
      </c>
      <c r="G12" s="96">
        <v>459</v>
      </c>
      <c r="H12" s="96"/>
    </row>
    <row r="13" s="6" customFormat="1" ht="25" customHeight="1" spans="1:8">
      <c r="A13" s="95" t="s">
        <v>27</v>
      </c>
      <c r="B13" s="96">
        <v>11631</v>
      </c>
      <c r="C13" s="96">
        <f>16206+3831</f>
        <v>20037</v>
      </c>
      <c r="D13" s="96">
        <f t="shared" si="2"/>
        <v>8406</v>
      </c>
      <c r="E13" s="95" t="s">
        <v>28</v>
      </c>
      <c r="F13" s="96"/>
      <c r="G13" s="96"/>
      <c r="H13" s="96">
        <f t="shared" si="3"/>
        <v>0</v>
      </c>
    </row>
    <row r="14" s="6" customFormat="1" ht="25" customHeight="1" spans="1:8">
      <c r="A14" s="95" t="s">
        <v>29</v>
      </c>
      <c r="B14" s="96">
        <v>12137</v>
      </c>
      <c r="C14" s="96">
        <v>10004</v>
      </c>
      <c r="D14" s="96">
        <f t="shared" si="2"/>
        <v>-2133</v>
      </c>
      <c r="E14" s="95" t="s">
        <v>30</v>
      </c>
      <c r="F14" s="96"/>
      <c r="G14" s="96"/>
      <c r="H14" s="96"/>
    </row>
    <row r="15" s="6" customFormat="1" ht="25" customHeight="1" spans="1:8">
      <c r="A15" s="95" t="s">
        <v>31</v>
      </c>
      <c r="B15" s="96">
        <v>4390</v>
      </c>
      <c r="C15" s="96">
        <v>4390</v>
      </c>
      <c r="D15" s="96"/>
      <c r="E15" s="95" t="s">
        <v>32</v>
      </c>
      <c r="F15" s="96"/>
      <c r="G15" s="96">
        <v>20000</v>
      </c>
      <c r="H15" s="96">
        <f t="shared" si="3"/>
        <v>20000</v>
      </c>
    </row>
    <row r="16" s="6" customFormat="1" ht="25" customHeight="1" spans="1:8">
      <c r="A16" s="95" t="s">
        <v>33</v>
      </c>
      <c r="B16" s="96">
        <v>3283</v>
      </c>
      <c r="C16" s="96">
        <v>3283</v>
      </c>
      <c r="D16" s="96"/>
      <c r="E16" s="95" t="s">
        <v>34</v>
      </c>
      <c r="F16" s="96"/>
      <c r="G16" s="96">
        <f>C29-G5-G9-G15</f>
        <v>28584</v>
      </c>
      <c r="H16" s="96">
        <f t="shared" si="3"/>
        <v>28584</v>
      </c>
    </row>
    <row r="17" s="6" customFormat="1" ht="25" customHeight="1" spans="1:8">
      <c r="A17" s="95" t="s">
        <v>35</v>
      </c>
      <c r="B17" s="96">
        <v>236</v>
      </c>
      <c r="C17" s="96">
        <v>236</v>
      </c>
      <c r="D17" s="96"/>
      <c r="E17" s="95"/>
      <c r="F17" s="96"/>
      <c r="G17" s="96"/>
      <c r="H17" s="96"/>
    </row>
    <row r="18" s="6" customFormat="1" ht="25" customHeight="1" spans="1:8">
      <c r="A18" s="95" t="s">
        <v>36</v>
      </c>
      <c r="B18" s="96">
        <v>3949</v>
      </c>
      <c r="C18" s="96">
        <v>3949</v>
      </c>
      <c r="D18" s="96"/>
      <c r="E18" s="96"/>
      <c r="F18" s="96"/>
      <c r="G18" s="96"/>
      <c r="H18" s="96"/>
    </row>
    <row r="19" s="6" customFormat="1" ht="25" customHeight="1" spans="1:8">
      <c r="A19" s="95" t="s">
        <v>37</v>
      </c>
      <c r="B19" s="96">
        <v>25000</v>
      </c>
      <c r="C19" s="96"/>
      <c r="D19" s="96">
        <f t="shared" ref="D18:D22" si="4">C19-B19</f>
        <v>-25000</v>
      </c>
      <c r="E19" s="96"/>
      <c r="F19" s="96"/>
      <c r="G19" s="96"/>
      <c r="H19" s="96"/>
    </row>
    <row r="20" s="6" customFormat="1" ht="25" customHeight="1" spans="1:8">
      <c r="A20" s="95" t="s">
        <v>38</v>
      </c>
      <c r="B20" s="96"/>
      <c r="C20" s="96"/>
      <c r="D20" s="96"/>
      <c r="E20" s="96"/>
      <c r="F20" s="96"/>
      <c r="G20" s="96"/>
      <c r="H20" s="96"/>
    </row>
    <row r="21" s="6" customFormat="1" ht="25" customHeight="1" spans="1:8">
      <c r="A21" s="95" t="s">
        <v>39</v>
      </c>
      <c r="B21" s="96">
        <v>17120</v>
      </c>
      <c r="C21" s="96">
        <v>17120</v>
      </c>
      <c r="D21" s="96"/>
      <c r="E21" s="96"/>
      <c r="F21" s="96"/>
      <c r="G21" s="96"/>
      <c r="H21" s="96"/>
    </row>
    <row r="22" s="6" customFormat="1" ht="25" customHeight="1" spans="1:8">
      <c r="A22" s="95" t="s">
        <v>40</v>
      </c>
      <c r="B22" s="96">
        <v>64020</v>
      </c>
      <c r="C22" s="96">
        <f>98667+4</f>
        <v>98671</v>
      </c>
      <c r="D22" s="96">
        <f t="shared" si="4"/>
        <v>34651</v>
      </c>
      <c r="E22" s="96"/>
      <c r="F22" s="96"/>
      <c r="G22" s="96"/>
      <c r="H22" s="96"/>
    </row>
    <row r="23" s="6" customFormat="1" ht="25" customHeight="1" spans="1:8">
      <c r="A23" s="95" t="s">
        <v>41</v>
      </c>
      <c r="B23" s="96">
        <v>42500</v>
      </c>
      <c r="C23" s="96">
        <f>15340-5+5000</f>
        <v>20335</v>
      </c>
      <c r="D23" s="96">
        <f t="shared" ref="D23:D29" si="5">C23-B23</f>
        <v>-22165</v>
      </c>
      <c r="E23" s="96"/>
      <c r="F23" s="96"/>
      <c r="G23" s="96"/>
      <c r="H23" s="96"/>
    </row>
    <row r="24" s="6" customFormat="1" ht="25" customHeight="1" spans="1:8">
      <c r="A24" s="95" t="s">
        <v>42</v>
      </c>
      <c r="B24" s="96"/>
      <c r="C24" s="96">
        <v>4300</v>
      </c>
      <c r="D24" s="96">
        <f t="shared" si="5"/>
        <v>4300</v>
      </c>
      <c r="E24" s="96"/>
      <c r="F24" s="96"/>
      <c r="G24" s="96"/>
      <c r="H24" s="96"/>
    </row>
    <row r="25" s="6" customFormat="1" ht="25" customHeight="1" spans="1:8">
      <c r="A25" s="95" t="s">
        <v>43</v>
      </c>
      <c r="B25" s="96"/>
      <c r="C25" s="96">
        <v>20000</v>
      </c>
      <c r="D25" s="96">
        <f t="shared" si="5"/>
        <v>20000</v>
      </c>
      <c r="E25" s="96"/>
      <c r="F25" s="96"/>
      <c r="G25" s="96"/>
      <c r="H25" s="96"/>
    </row>
    <row r="26" s="6" customFormat="1" ht="25" customHeight="1" spans="1:8">
      <c r="A26" s="95" t="s">
        <v>44</v>
      </c>
      <c r="B26" s="96"/>
      <c r="C26" s="96">
        <v>27052</v>
      </c>
      <c r="D26" s="96">
        <f t="shared" si="5"/>
        <v>27052</v>
      </c>
      <c r="E26" s="96"/>
      <c r="F26" s="96"/>
      <c r="G26" s="96"/>
      <c r="H26" s="96"/>
    </row>
    <row r="27" s="6" customFormat="1" ht="25" customHeight="1" spans="1:8">
      <c r="A27" s="95" t="s">
        <v>45</v>
      </c>
      <c r="B27" s="96"/>
      <c r="C27" s="96">
        <v>24659</v>
      </c>
      <c r="D27" s="96">
        <f t="shared" si="5"/>
        <v>24659</v>
      </c>
      <c r="E27" s="96"/>
      <c r="F27" s="96"/>
      <c r="G27" s="96"/>
      <c r="H27" s="96"/>
    </row>
    <row r="28" s="6" customFormat="1" ht="25" customHeight="1" spans="1:8">
      <c r="A28" s="95" t="s">
        <v>46</v>
      </c>
      <c r="B28" s="96">
        <v>29164</v>
      </c>
      <c r="C28" s="96">
        <v>14820</v>
      </c>
      <c r="D28" s="96">
        <f t="shared" si="5"/>
        <v>-14344</v>
      </c>
      <c r="E28" s="96"/>
      <c r="F28" s="96"/>
      <c r="G28" s="96"/>
      <c r="H28" s="96"/>
    </row>
    <row r="29" s="6" customFormat="1" ht="25" customHeight="1" spans="1:8">
      <c r="A29" s="97" t="s">
        <v>47</v>
      </c>
      <c r="B29" s="65">
        <f>B5+B6+B24+B26+B27+B28+B25</f>
        <v>306337</v>
      </c>
      <c r="C29" s="65">
        <f>C5+C6+C24+C26+C27+C28+C25</f>
        <v>386386</v>
      </c>
      <c r="D29" s="65">
        <f t="shared" si="5"/>
        <v>80049</v>
      </c>
      <c r="E29" s="76" t="s">
        <v>48</v>
      </c>
      <c r="F29" s="65">
        <f>F5+F9+F13+F14+F16+F15</f>
        <v>306337</v>
      </c>
      <c r="G29" s="65">
        <f>G5+G9+G13+G14+G16+G15</f>
        <v>386386</v>
      </c>
      <c r="H29" s="65">
        <f>G29-F29</f>
        <v>80049</v>
      </c>
    </row>
    <row r="30" s="6" customFormat="1" ht="39" customHeight="1" spans="1:8">
      <c r="A30" s="98" t="s">
        <v>49</v>
      </c>
      <c r="B30" s="98"/>
      <c r="C30" s="98"/>
      <c r="D30" s="98"/>
      <c r="E30" s="5"/>
      <c r="F30" s="98"/>
      <c r="G30" s="98"/>
      <c r="H30" s="98"/>
    </row>
    <row r="31" s="6" customFormat="1" ht="15" customHeight="1" spans="1:8">
      <c r="A31" s="99"/>
      <c r="B31" s="99"/>
      <c r="C31" s="99"/>
      <c r="D31" s="99"/>
      <c r="E31" s="4"/>
      <c r="F31" s="99"/>
      <c r="G31" s="99"/>
      <c r="H31" s="99"/>
    </row>
    <row r="32" s="6" customFormat="1" ht="15" customHeight="1" spans="1:8">
      <c r="A32" s="99"/>
      <c r="B32" s="4"/>
      <c r="C32" s="4"/>
      <c r="D32" s="4"/>
      <c r="E32" s="4"/>
      <c r="F32" s="4"/>
      <c r="G32" s="4"/>
      <c r="H32" s="4"/>
    </row>
    <row r="33" s="6" customFormat="1" ht="15" customHeight="1" spans="1:8">
      <c r="A33" s="99"/>
      <c r="B33" s="4"/>
      <c r="C33" s="4"/>
      <c r="D33" s="4"/>
      <c r="E33" s="4"/>
      <c r="F33" s="4"/>
      <c r="G33" s="4"/>
      <c r="H33" s="4"/>
    </row>
    <row r="34" s="6" customFormat="1" ht="15" customHeight="1" spans="1:1">
      <c r="A34" s="89"/>
    </row>
    <row r="35" s="6" customFormat="1" ht="15" customHeight="1" spans="1:1">
      <c r="A35" s="89"/>
    </row>
  </sheetData>
  <mergeCells count="5">
    <mergeCell ref="A1:H1"/>
    <mergeCell ref="C2:E2"/>
    <mergeCell ref="A3:D3"/>
    <mergeCell ref="E3:H3"/>
    <mergeCell ref="A30:H30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3"/>
  <sheetViews>
    <sheetView view="pageBreakPreview" zoomScaleNormal="100" workbookViewId="0">
      <selection activeCell="K51" sqref="K51"/>
    </sheetView>
  </sheetViews>
  <sheetFormatPr defaultColWidth="9" defaultRowHeight="11.25"/>
  <cols>
    <col min="1" max="1" width="36" style="6" customWidth="1"/>
    <col min="2" max="2" width="51.5" style="6" customWidth="1"/>
    <col min="3" max="3" width="15.375" style="25" customWidth="1"/>
    <col min="4" max="4" width="17" style="6" customWidth="1"/>
    <col min="5" max="5" width="16.375" style="6" customWidth="1"/>
    <col min="6" max="16384" width="9" style="6"/>
  </cols>
  <sheetData>
    <row r="1" s="19" customFormat="1" ht="27" customHeight="1" spans="1:15">
      <c r="A1" s="49" t="s">
        <v>50</v>
      </c>
      <c r="B1" s="49"/>
      <c r="C1" s="71"/>
      <c r="D1" s="49"/>
      <c r="E1" s="49"/>
      <c r="F1" s="1"/>
      <c r="G1" s="1"/>
      <c r="H1" s="1"/>
      <c r="I1" s="1"/>
      <c r="J1" s="1"/>
      <c r="K1" s="1"/>
      <c r="L1" s="1"/>
      <c r="M1" s="1"/>
      <c r="N1" s="1"/>
      <c r="O1" s="1"/>
    </row>
    <row r="2" s="6" customFormat="1" ht="15" customHeight="1" spans="1:5">
      <c r="A2" s="72"/>
      <c r="B2" s="72"/>
      <c r="C2" s="25"/>
      <c r="D2" s="72"/>
      <c r="E2" s="25" t="s">
        <v>4</v>
      </c>
    </row>
    <row r="3" s="6" customFormat="1" ht="23.5" customHeight="1" spans="1:5">
      <c r="A3" s="52" t="s">
        <v>51</v>
      </c>
      <c r="B3" s="52" t="s">
        <v>52</v>
      </c>
      <c r="C3" s="52" t="s">
        <v>53</v>
      </c>
      <c r="D3" s="52" t="s">
        <v>54</v>
      </c>
      <c r="E3" s="52" t="s">
        <v>55</v>
      </c>
    </row>
    <row r="4" s="6" customFormat="1" ht="23.5" customHeight="1" spans="1:5">
      <c r="A4" s="16" t="s">
        <v>56</v>
      </c>
      <c r="B4" s="52" t="s">
        <v>57</v>
      </c>
      <c r="C4" s="73">
        <v>100</v>
      </c>
      <c r="D4" s="56" t="s">
        <v>58</v>
      </c>
      <c r="E4" s="52" t="s">
        <v>59</v>
      </c>
    </row>
    <row r="5" s="6" customFormat="1" ht="23.5" customHeight="1" spans="1:5">
      <c r="A5" s="16" t="s">
        <v>60</v>
      </c>
      <c r="B5" s="26" t="s">
        <v>61</v>
      </c>
      <c r="C5" s="74">
        <v>119</v>
      </c>
      <c r="D5" s="56"/>
      <c r="E5" s="52"/>
    </row>
    <row r="6" s="6" customFormat="1" ht="23.5" customHeight="1" spans="1:5">
      <c r="A6" s="16" t="s">
        <v>62</v>
      </c>
      <c r="B6" s="26" t="s">
        <v>63</v>
      </c>
      <c r="C6" s="73">
        <v>300</v>
      </c>
      <c r="D6" s="56"/>
      <c r="E6" s="52"/>
    </row>
    <row r="7" s="6" customFormat="1" ht="23.5" customHeight="1" spans="1:5">
      <c r="A7" s="16" t="s">
        <v>64</v>
      </c>
      <c r="B7" s="26" t="s">
        <v>65</v>
      </c>
      <c r="C7" s="73">
        <v>100</v>
      </c>
      <c r="D7" s="56"/>
      <c r="E7" s="52"/>
    </row>
    <row r="8" s="6" customFormat="1" ht="23.5" customHeight="1" spans="1:5">
      <c r="A8" s="16" t="s">
        <v>66</v>
      </c>
      <c r="B8" s="26" t="s">
        <v>67</v>
      </c>
      <c r="C8" s="73">
        <v>400</v>
      </c>
      <c r="D8" s="56"/>
      <c r="E8" s="52"/>
    </row>
    <row r="9" s="6" customFormat="1" ht="23.5" customHeight="1" spans="1:5">
      <c r="A9" s="16" t="s">
        <v>66</v>
      </c>
      <c r="B9" s="26" t="s">
        <v>68</v>
      </c>
      <c r="C9" s="73">
        <v>681</v>
      </c>
      <c r="D9" s="56"/>
      <c r="E9" s="52"/>
    </row>
    <row r="10" s="6" customFormat="1" ht="23.5" customHeight="1" spans="1:5">
      <c r="A10" s="16" t="s">
        <v>69</v>
      </c>
      <c r="B10" s="52" t="s">
        <v>70</v>
      </c>
      <c r="C10" s="73">
        <v>500</v>
      </c>
      <c r="D10" s="52" t="s">
        <v>71</v>
      </c>
      <c r="E10" s="52"/>
    </row>
    <row r="11" s="6" customFormat="1" ht="23.5" customHeight="1" spans="1:5">
      <c r="A11" s="16" t="s">
        <v>64</v>
      </c>
      <c r="B11" s="52" t="s">
        <v>72</v>
      </c>
      <c r="C11" s="73">
        <v>1927</v>
      </c>
      <c r="D11" s="52"/>
      <c r="E11" s="52"/>
    </row>
    <row r="12" s="6" customFormat="1" ht="23.5" customHeight="1" spans="1:5">
      <c r="A12" s="16" t="s">
        <v>66</v>
      </c>
      <c r="B12" s="26" t="s">
        <v>68</v>
      </c>
      <c r="C12" s="73">
        <f>2100-1927</f>
        <v>173</v>
      </c>
      <c r="D12" s="52"/>
      <c r="E12" s="52"/>
    </row>
    <row r="13" s="6" customFormat="1" ht="23.5" customHeight="1" spans="1:5">
      <c r="A13" s="75"/>
      <c r="B13" s="76" t="s">
        <v>73</v>
      </c>
      <c r="C13" s="77">
        <f>SUM(C4:C12)</f>
        <v>4300</v>
      </c>
      <c r="D13" s="76"/>
      <c r="E13" s="76"/>
    </row>
    <row r="14" s="6" customFormat="1" ht="23.5" customHeight="1" spans="1:5">
      <c r="A14" s="16" t="s">
        <v>74</v>
      </c>
      <c r="B14" s="52" t="s">
        <v>75</v>
      </c>
      <c r="C14" s="73">
        <v>15500</v>
      </c>
      <c r="D14" s="78" t="s">
        <v>58</v>
      </c>
      <c r="E14" s="78" t="s">
        <v>76</v>
      </c>
    </row>
    <row r="15" s="6" customFormat="1" ht="23.5" customHeight="1" spans="1:5">
      <c r="A15" s="16" t="s">
        <v>74</v>
      </c>
      <c r="B15" s="26" t="s">
        <v>77</v>
      </c>
      <c r="C15" s="73">
        <v>3000</v>
      </c>
      <c r="D15" s="79"/>
      <c r="E15" s="79"/>
    </row>
    <row r="16" s="6" customFormat="1" ht="23.5" customHeight="1" spans="1:5">
      <c r="A16" s="16" t="s">
        <v>78</v>
      </c>
      <c r="B16" s="26" t="s">
        <v>79</v>
      </c>
      <c r="C16" s="74">
        <v>2000</v>
      </c>
      <c r="D16" s="79"/>
      <c r="E16" s="79"/>
    </row>
    <row r="17" s="6" customFormat="1" ht="23.5" customHeight="1" spans="1:5">
      <c r="A17" s="16" t="s">
        <v>62</v>
      </c>
      <c r="B17" s="26" t="s">
        <v>80</v>
      </c>
      <c r="C17" s="73">
        <v>2500</v>
      </c>
      <c r="D17" s="79"/>
      <c r="E17" s="79"/>
    </row>
    <row r="18" s="6" customFormat="1" ht="23.5" customHeight="1" spans="1:5">
      <c r="A18" s="16" t="s">
        <v>81</v>
      </c>
      <c r="B18" s="26" t="s">
        <v>82</v>
      </c>
      <c r="C18" s="73">
        <v>1300</v>
      </c>
      <c r="D18" s="79"/>
      <c r="E18" s="79"/>
    </row>
    <row r="19" s="6" customFormat="1" ht="23.5" customHeight="1" spans="1:5">
      <c r="A19" s="16" t="s">
        <v>81</v>
      </c>
      <c r="B19" s="26" t="s">
        <v>83</v>
      </c>
      <c r="C19" s="73">
        <v>5000</v>
      </c>
      <c r="D19" s="79"/>
      <c r="E19" s="79"/>
    </row>
    <row r="20" s="6" customFormat="1" ht="23.5" customHeight="1" spans="1:5">
      <c r="A20" s="16" t="s">
        <v>84</v>
      </c>
      <c r="B20" s="26" t="s">
        <v>85</v>
      </c>
      <c r="C20" s="73">
        <v>700</v>
      </c>
      <c r="D20" s="80"/>
      <c r="E20" s="80"/>
    </row>
    <row r="21" s="6" customFormat="1" ht="23.5" customHeight="1" spans="1:5">
      <c r="A21" s="16" t="s">
        <v>84</v>
      </c>
      <c r="B21" s="26" t="s">
        <v>86</v>
      </c>
      <c r="C21" s="73">
        <v>500</v>
      </c>
      <c r="D21" s="52" t="s">
        <v>58</v>
      </c>
      <c r="E21" s="78" t="s">
        <v>76</v>
      </c>
    </row>
    <row r="22" s="6" customFormat="1" ht="23.5" customHeight="1" spans="1:5">
      <c r="A22" s="16" t="s">
        <v>74</v>
      </c>
      <c r="B22" s="26" t="s">
        <v>75</v>
      </c>
      <c r="C22" s="73">
        <v>10000</v>
      </c>
      <c r="D22" s="56" t="s">
        <v>71</v>
      </c>
      <c r="E22" s="79"/>
    </row>
    <row r="23" s="6" customFormat="1" ht="23.5" customHeight="1" spans="1:5">
      <c r="A23" s="16" t="s">
        <v>74</v>
      </c>
      <c r="B23" s="26" t="s">
        <v>87</v>
      </c>
      <c r="C23" s="73">
        <v>3000</v>
      </c>
      <c r="D23" s="56"/>
      <c r="E23" s="79"/>
    </row>
    <row r="24" s="6" customFormat="1" ht="23.5" customHeight="1" spans="1:5">
      <c r="A24" s="16" t="s">
        <v>74</v>
      </c>
      <c r="B24" s="26" t="s">
        <v>88</v>
      </c>
      <c r="C24" s="73">
        <v>14500</v>
      </c>
      <c r="D24" s="56"/>
      <c r="E24" s="79"/>
    </row>
    <row r="25" s="6" customFormat="1" ht="23.5" customHeight="1" spans="1:5">
      <c r="A25" s="16" t="s">
        <v>89</v>
      </c>
      <c r="B25" s="26" t="s">
        <v>90</v>
      </c>
      <c r="C25" s="73">
        <f>1900+2900</f>
        <v>4800</v>
      </c>
      <c r="D25" s="56"/>
      <c r="E25" s="79"/>
    </row>
    <row r="26" s="6" customFormat="1" ht="23.5" customHeight="1" spans="1:5">
      <c r="A26" s="16" t="s">
        <v>91</v>
      </c>
      <c r="B26" s="26" t="s">
        <v>92</v>
      </c>
      <c r="C26" s="73">
        <v>1000</v>
      </c>
      <c r="D26" s="56"/>
      <c r="E26" s="79"/>
    </row>
    <row r="27" s="6" customFormat="1" ht="23.5" customHeight="1" spans="1:5">
      <c r="A27" s="16" t="s">
        <v>84</v>
      </c>
      <c r="B27" s="26" t="s">
        <v>86</v>
      </c>
      <c r="C27" s="73">
        <v>1200</v>
      </c>
      <c r="D27" s="56"/>
      <c r="E27" s="79"/>
    </row>
    <row r="28" s="6" customFormat="1" ht="23.5" customHeight="1" spans="1:5">
      <c r="A28" s="16" t="s">
        <v>84</v>
      </c>
      <c r="B28" s="26" t="s">
        <v>93</v>
      </c>
      <c r="C28" s="73">
        <v>200</v>
      </c>
      <c r="D28" s="56"/>
      <c r="E28" s="79"/>
    </row>
    <row r="29" s="6" customFormat="1" ht="23.5" customHeight="1" spans="1:5">
      <c r="A29" s="16" t="s">
        <v>84</v>
      </c>
      <c r="B29" s="26" t="s">
        <v>94</v>
      </c>
      <c r="C29" s="73">
        <v>3100</v>
      </c>
      <c r="D29" s="56"/>
      <c r="E29" s="79"/>
    </row>
    <row r="30" s="6" customFormat="1" ht="23.5" customHeight="1" spans="1:5">
      <c r="A30" s="16" t="s">
        <v>84</v>
      </c>
      <c r="B30" s="26" t="s">
        <v>95</v>
      </c>
      <c r="C30" s="73">
        <v>200</v>
      </c>
      <c r="D30" s="56"/>
      <c r="E30" s="79"/>
    </row>
    <row r="31" s="6" customFormat="1" ht="23.5" customHeight="1" spans="1:5">
      <c r="A31" s="16" t="s">
        <v>96</v>
      </c>
      <c r="B31" s="26" t="s">
        <v>97</v>
      </c>
      <c r="C31" s="73">
        <v>2100</v>
      </c>
      <c r="D31" s="56"/>
      <c r="E31" s="79"/>
    </row>
    <row r="32" s="6" customFormat="1" ht="23.5" customHeight="1" spans="1:5">
      <c r="A32" s="16" t="s">
        <v>62</v>
      </c>
      <c r="B32" s="26" t="s">
        <v>80</v>
      </c>
      <c r="C32" s="73">
        <v>2000</v>
      </c>
      <c r="D32" s="56"/>
      <c r="E32" s="79"/>
    </row>
    <row r="33" s="6" customFormat="1" ht="23.5" customHeight="1" spans="1:5">
      <c r="A33" s="16" t="s">
        <v>78</v>
      </c>
      <c r="B33" s="26" t="s">
        <v>98</v>
      </c>
      <c r="C33" s="73">
        <v>4200</v>
      </c>
      <c r="D33" s="56"/>
      <c r="E33" s="79"/>
    </row>
    <row r="34" s="6" customFormat="1" ht="23.5" customHeight="1" spans="1:5">
      <c r="A34" s="81" t="s">
        <v>99</v>
      </c>
      <c r="B34" s="82" t="s">
        <v>100</v>
      </c>
      <c r="C34" s="83">
        <v>1850</v>
      </c>
      <c r="D34" s="84" t="s">
        <v>101</v>
      </c>
      <c r="E34" s="79"/>
    </row>
    <row r="35" s="6" customFormat="1" ht="23.5" customHeight="1" spans="1:5">
      <c r="A35" s="81" t="s">
        <v>99</v>
      </c>
      <c r="B35" s="82" t="s">
        <v>102</v>
      </c>
      <c r="C35" s="83">
        <v>2300</v>
      </c>
      <c r="D35" s="85"/>
      <c r="E35" s="79"/>
    </row>
    <row r="36" s="6" customFormat="1" ht="23.5" customHeight="1" spans="1:5">
      <c r="A36" s="81" t="s">
        <v>103</v>
      </c>
      <c r="B36" s="82" t="s">
        <v>104</v>
      </c>
      <c r="C36" s="83">
        <v>3500</v>
      </c>
      <c r="D36" s="85"/>
      <c r="E36" s="79"/>
    </row>
    <row r="37" s="6" customFormat="1" ht="23.5" customHeight="1" spans="1:5">
      <c r="A37" s="81" t="s">
        <v>103</v>
      </c>
      <c r="B37" s="82" t="s">
        <v>105</v>
      </c>
      <c r="C37" s="83">
        <v>3000</v>
      </c>
      <c r="D37" s="86"/>
      <c r="E37" s="80"/>
    </row>
    <row r="38" s="6" customFormat="1" ht="23.5" customHeight="1" spans="1:5">
      <c r="A38" s="81" t="s">
        <v>103</v>
      </c>
      <c r="B38" s="82" t="s">
        <v>106</v>
      </c>
      <c r="C38" s="83">
        <v>750</v>
      </c>
      <c r="D38" s="84" t="s">
        <v>101</v>
      </c>
      <c r="E38" s="78" t="s">
        <v>76</v>
      </c>
    </row>
    <row r="39" s="6" customFormat="1" ht="23.5" customHeight="1" spans="1:5">
      <c r="A39" s="81" t="s">
        <v>89</v>
      </c>
      <c r="B39" s="82" t="s">
        <v>107</v>
      </c>
      <c r="C39" s="83">
        <v>1500</v>
      </c>
      <c r="D39" s="85"/>
      <c r="E39" s="79"/>
    </row>
    <row r="40" s="6" customFormat="1" ht="23.5" customHeight="1" spans="1:5">
      <c r="A40" s="81" t="s">
        <v>89</v>
      </c>
      <c r="B40" s="82" t="s">
        <v>90</v>
      </c>
      <c r="C40" s="83">
        <v>4800</v>
      </c>
      <c r="D40" s="86"/>
      <c r="E40" s="80"/>
    </row>
    <row r="41" s="6" customFormat="1" ht="23.5" customHeight="1" spans="1:5">
      <c r="A41" s="82"/>
      <c r="B41" s="87" t="s">
        <v>108</v>
      </c>
      <c r="C41" s="88">
        <f>SUM(C14:C40)</f>
        <v>94500</v>
      </c>
      <c r="D41" s="76"/>
      <c r="E41" s="76"/>
    </row>
    <row r="42" s="6" customFormat="1" ht="23.5" customHeight="1" spans="1:5">
      <c r="A42" s="82"/>
      <c r="B42" s="87" t="s">
        <v>109</v>
      </c>
      <c r="C42" s="88">
        <f>C13+C41</f>
        <v>98800</v>
      </c>
      <c r="D42" s="76"/>
      <c r="E42" s="76"/>
    </row>
    <row r="43" s="6" customFormat="1" ht="23.5" customHeight="1" spans="1:5">
      <c r="A43" s="4" t="s">
        <v>110</v>
      </c>
      <c r="B43" s="4"/>
      <c r="C43" s="25"/>
      <c r="D43" s="4"/>
      <c r="E43" s="4"/>
    </row>
  </sheetData>
  <mergeCells count="12">
    <mergeCell ref="A1:E1"/>
    <mergeCell ref="A43:E43"/>
    <mergeCell ref="D4:D9"/>
    <mergeCell ref="D10:D12"/>
    <mergeCell ref="D14:D20"/>
    <mergeCell ref="D22:D33"/>
    <mergeCell ref="D34:D37"/>
    <mergeCell ref="D38:D40"/>
    <mergeCell ref="E4:E12"/>
    <mergeCell ref="E14:E20"/>
    <mergeCell ref="E21:E37"/>
    <mergeCell ref="E38:E40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4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F21" sqref="F21"/>
    </sheetView>
  </sheetViews>
  <sheetFormatPr defaultColWidth="9" defaultRowHeight="11.25"/>
  <cols>
    <col min="1" max="1" width="40.375" style="6" customWidth="1"/>
    <col min="2" max="3" width="12.625" style="6" customWidth="1"/>
    <col min="4" max="4" width="22.625" style="6" customWidth="1"/>
    <col min="5" max="5" width="12.625" style="6" customWidth="1"/>
    <col min="6" max="6" width="22.625" style="6" customWidth="1"/>
    <col min="7" max="7" width="12.625" style="6" customWidth="1"/>
    <col min="8" max="8" width="10.375" style="6"/>
    <col min="9" max="16374" width="9" style="6"/>
    <col min="16375" max="16376" width="9" style="20"/>
    <col min="16377" max="16384" width="9" style="66"/>
  </cols>
  <sheetData>
    <row r="1" s="19" customFormat="1" ht="27" customHeight="1" spans="1:16382">
      <c r="A1" s="67" t="s">
        <v>111</v>
      </c>
      <c r="B1" s="67"/>
      <c r="C1" s="67"/>
      <c r="D1" s="67"/>
      <c r="E1" s="67"/>
      <c r="F1" s="67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36"/>
      <c r="XEV1" s="36"/>
      <c r="XEW1" s="70"/>
      <c r="XEX1" s="70"/>
      <c r="XEY1" s="70"/>
      <c r="XEZ1" s="70"/>
      <c r="XFA1" s="70"/>
      <c r="XFB1" s="70"/>
    </row>
    <row r="2" s="6" customFormat="1" ht="15" customHeight="1" spans="7:7">
      <c r="G2" s="25" t="s">
        <v>4</v>
      </c>
    </row>
    <row r="3" s="6" customFormat="1" ht="41" customHeight="1" spans="1:7">
      <c r="A3" s="26" t="s">
        <v>112</v>
      </c>
      <c r="B3" s="26" t="s">
        <v>8</v>
      </c>
      <c r="C3" s="56" t="s">
        <v>113</v>
      </c>
      <c r="D3" s="56" t="s">
        <v>114</v>
      </c>
      <c r="E3" s="56" t="s">
        <v>115</v>
      </c>
      <c r="F3" s="56" t="s">
        <v>116</v>
      </c>
      <c r="G3" s="56" t="s">
        <v>9</v>
      </c>
    </row>
    <row r="4" s="48" customFormat="1" ht="23" customHeight="1" spans="1:13">
      <c r="A4" s="27" t="s">
        <v>117</v>
      </c>
      <c r="B4" s="52">
        <v>1</v>
      </c>
      <c r="C4" s="52">
        <v>2</v>
      </c>
      <c r="D4" s="52">
        <v>3</v>
      </c>
      <c r="E4" s="52">
        <v>4</v>
      </c>
      <c r="F4" s="52">
        <v>5</v>
      </c>
      <c r="G4" s="52">
        <v>6</v>
      </c>
      <c r="H4" s="6"/>
      <c r="I4" s="6"/>
      <c r="J4" s="6"/>
      <c r="K4" s="6"/>
      <c r="L4" s="6"/>
      <c r="M4" s="6"/>
    </row>
    <row r="5" s="6" customFormat="1" ht="25.5" customHeight="1" spans="1:7">
      <c r="A5" s="16" t="s">
        <v>118</v>
      </c>
      <c r="B5" s="68">
        <v>32535</v>
      </c>
      <c r="C5" s="69">
        <v>-5543</v>
      </c>
      <c r="D5" s="69">
        <v>0</v>
      </c>
      <c r="E5" s="69">
        <v>0</v>
      </c>
      <c r="F5" s="69">
        <v>-1742</v>
      </c>
      <c r="G5" s="58">
        <f>SUM(B5:F5)</f>
        <v>25250</v>
      </c>
    </row>
    <row r="6" s="6" customFormat="1" ht="25.5" customHeight="1" spans="1:7">
      <c r="A6" s="16" t="s">
        <v>119</v>
      </c>
      <c r="B6" s="68">
        <v>292</v>
      </c>
      <c r="C6" s="58">
        <v>1</v>
      </c>
      <c r="D6" s="58">
        <v>0</v>
      </c>
      <c r="E6" s="69">
        <v>0</v>
      </c>
      <c r="F6" s="69">
        <v>20</v>
      </c>
      <c r="G6" s="58">
        <f t="shared" ref="G6:G26" si="0">SUM(B6:F6)</f>
        <v>313</v>
      </c>
    </row>
    <row r="7" s="6" customFormat="1" ht="25.5" customHeight="1" spans="1:7">
      <c r="A7" s="16" t="s">
        <v>120</v>
      </c>
      <c r="B7" s="68">
        <v>1891</v>
      </c>
      <c r="C7" s="58">
        <v>0</v>
      </c>
      <c r="D7" s="58">
        <v>0</v>
      </c>
      <c r="E7" s="69">
        <v>0</v>
      </c>
      <c r="F7" s="69">
        <v>-217</v>
      </c>
      <c r="G7" s="58">
        <f t="shared" si="0"/>
        <v>1674</v>
      </c>
    </row>
    <row r="8" s="6" customFormat="1" ht="25.5" customHeight="1" spans="1:7">
      <c r="A8" s="16" t="s">
        <v>121</v>
      </c>
      <c r="B8" s="68">
        <v>39397</v>
      </c>
      <c r="C8" s="58">
        <v>184</v>
      </c>
      <c r="D8" s="58">
        <f>94+3000-1927</f>
        <v>1167</v>
      </c>
      <c r="E8" s="69">
        <f>2027+854</f>
        <v>2881</v>
      </c>
      <c r="F8" s="69">
        <v>3464</v>
      </c>
      <c r="G8" s="58">
        <f t="shared" si="0"/>
        <v>47093</v>
      </c>
    </row>
    <row r="9" s="6" customFormat="1" ht="25.5" customHeight="1" spans="1:7">
      <c r="A9" s="16" t="s">
        <v>122</v>
      </c>
      <c r="B9" s="68">
        <v>5197</v>
      </c>
      <c r="C9" s="58">
        <v>2693</v>
      </c>
      <c r="D9" s="58">
        <v>570</v>
      </c>
      <c r="E9" s="69">
        <v>0</v>
      </c>
      <c r="F9" s="69">
        <v>1088</v>
      </c>
      <c r="G9" s="58">
        <f t="shared" si="0"/>
        <v>9548</v>
      </c>
    </row>
    <row r="10" s="6" customFormat="1" ht="25.5" customHeight="1" spans="1:7">
      <c r="A10" s="16" t="s">
        <v>123</v>
      </c>
      <c r="B10" s="68">
        <v>4103</v>
      </c>
      <c r="C10" s="58">
        <v>107</v>
      </c>
      <c r="D10" s="58">
        <v>0</v>
      </c>
      <c r="E10" s="69">
        <v>0</v>
      </c>
      <c r="F10" s="69">
        <v>-1668</v>
      </c>
      <c r="G10" s="58">
        <f t="shared" si="0"/>
        <v>2542</v>
      </c>
    </row>
    <row r="11" s="6" customFormat="1" ht="25.5" customHeight="1" spans="1:7">
      <c r="A11" s="16" t="s">
        <v>124</v>
      </c>
      <c r="B11" s="68">
        <v>70949</v>
      </c>
      <c r="C11" s="58">
        <v>-164</v>
      </c>
      <c r="D11" s="58">
        <v>-2000</v>
      </c>
      <c r="E11" s="69">
        <v>0</v>
      </c>
      <c r="F11" s="69">
        <v>-8726</v>
      </c>
      <c r="G11" s="58">
        <f t="shared" si="0"/>
        <v>60059</v>
      </c>
    </row>
    <row r="12" s="6" customFormat="1" ht="25.5" customHeight="1" spans="1:7">
      <c r="A12" s="16" t="s">
        <v>125</v>
      </c>
      <c r="B12" s="68">
        <v>25620</v>
      </c>
      <c r="C12" s="58">
        <v>-90</v>
      </c>
      <c r="D12" s="58">
        <v>107</v>
      </c>
      <c r="E12" s="69">
        <v>300</v>
      </c>
      <c r="F12" s="69">
        <v>-4809</v>
      </c>
      <c r="G12" s="58">
        <f t="shared" si="0"/>
        <v>21128</v>
      </c>
    </row>
    <row r="13" s="6" customFormat="1" ht="25.5" customHeight="1" spans="1:7">
      <c r="A13" s="16" t="s">
        <v>126</v>
      </c>
      <c r="B13" s="68">
        <v>4080</v>
      </c>
      <c r="C13" s="58">
        <v>129</v>
      </c>
      <c r="D13" s="58">
        <v>0</v>
      </c>
      <c r="E13" s="69">
        <v>0</v>
      </c>
      <c r="F13" s="69">
        <v>2873</v>
      </c>
      <c r="G13" s="58">
        <f t="shared" si="0"/>
        <v>7082</v>
      </c>
    </row>
    <row r="14" s="6" customFormat="1" ht="25.5" customHeight="1" spans="1:7">
      <c r="A14" s="16" t="s">
        <v>127</v>
      </c>
      <c r="B14" s="68">
        <v>22579</v>
      </c>
      <c r="C14" s="58">
        <v>9680</v>
      </c>
      <c r="D14" s="58">
        <v>6014</v>
      </c>
      <c r="E14" s="69">
        <v>400</v>
      </c>
      <c r="F14" s="69">
        <f>12551-1000</f>
        <v>11551</v>
      </c>
      <c r="G14" s="58">
        <f t="shared" si="0"/>
        <v>50224</v>
      </c>
    </row>
    <row r="15" s="6" customFormat="1" ht="25.5" customHeight="1" spans="1:7">
      <c r="A15" s="16" t="s">
        <v>128</v>
      </c>
      <c r="B15" s="68">
        <v>51518</v>
      </c>
      <c r="C15" s="58">
        <v>3370</v>
      </c>
      <c r="D15" s="58">
        <v>1202</v>
      </c>
      <c r="E15" s="69">
        <v>500</v>
      </c>
      <c r="F15" s="69">
        <v>11655</v>
      </c>
      <c r="G15" s="58">
        <f t="shared" si="0"/>
        <v>68245</v>
      </c>
    </row>
    <row r="16" s="6" customFormat="1" ht="25.5" customHeight="1" spans="1:7">
      <c r="A16" s="16" t="s">
        <v>129</v>
      </c>
      <c r="B16" s="68">
        <v>3426</v>
      </c>
      <c r="C16" s="58">
        <v>0</v>
      </c>
      <c r="D16" s="58">
        <v>220</v>
      </c>
      <c r="E16" s="69">
        <v>100</v>
      </c>
      <c r="F16" s="69">
        <v>1388</v>
      </c>
      <c r="G16" s="58">
        <f t="shared" si="0"/>
        <v>5134</v>
      </c>
    </row>
    <row r="17" s="6" customFormat="1" ht="25.5" customHeight="1" spans="1:7">
      <c r="A17" s="16" t="s">
        <v>130</v>
      </c>
      <c r="B17" s="68">
        <v>2662</v>
      </c>
      <c r="C17" s="58">
        <v>0</v>
      </c>
      <c r="D17" s="58">
        <v>0</v>
      </c>
      <c r="E17" s="69">
        <v>0</v>
      </c>
      <c r="F17" s="69">
        <v>-1145</v>
      </c>
      <c r="G17" s="58">
        <f t="shared" si="0"/>
        <v>1517</v>
      </c>
    </row>
    <row r="18" s="6" customFormat="1" ht="25.5" customHeight="1" spans="1:7">
      <c r="A18" s="16" t="s">
        <v>131</v>
      </c>
      <c r="B18" s="68">
        <v>1432</v>
      </c>
      <c r="C18" s="58">
        <v>0</v>
      </c>
      <c r="D18" s="58">
        <v>0</v>
      </c>
      <c r="E18" s="69">
        <v>0</v>
      </c>
      <c r="F18" s="69">
        <v>531</v>
      </c>
      <c r="G18" s="58">
        <f t="shared" si="0"/>
        <v>1963</v>
      </c>
    </row>
    <row r="19" s="6" customFormat="1" ht="25.5" customHeight="1" spans="1:7">
      <c r="A19" s="16" t="s">
        <v>132</v>
      </c>
      <c r="B19" s="68"/>
      <c r="C19" s="58">
        <v>0</v>
      </c>
      <c r="D19" s="58">
        <v>0</v>
      </c>
      <c r="E19" s="69">
        <v>0</v>
      </c>
      <c r="F19" s="69">
        <v>55</v>
      </c>
      <c r="G19" s="58">
        <f t="shared" si="0"/>
        <v>55</v>
      </c>
    </row>
    <row r="20" s="6" customFormat="1" ht="25.5" customHeight="1" spans="1:7">
      <c r="A20" s="16" t="s">
        <v>133</v>
      </c>
      <c r="B20" s="68">
        <v>2937</v>
      </c>
      <c r="C20" s="58">
        <v>0</v>
      </c>
      <c r="D20" s="58">
        <v>0</v>
      </c>
      <c r="E20" s="69">
        <v>0</v>
      </c>
      <c r="F20" s="69">
        <f>-1773+1000+1000</f>
        <v>227</v>
      </c>
      <c r="G20" s="58">
        <f t="shared" si="0"/>
        <v>3164</v>
      </c>
    </row>
    <row r="21" s="6" customFormat="1" ht="25.5" customHeight="1" spans="1:7">
      <c r="A21" s="16" t="s">
        <v>134</v>
      </c>
      <c r="B21" s="68">
        <v>10437</v>
      </c>
      <c r="C21" s="58">
        <v>0</v>
      </c>
      <c r="D21" s="58">
        <v>10</v>
      </c>
      <c r="E21" s="69">
        <v>0</v>
      </c>
      <c r="F21" s="69">
        <v>-3418</v>
      </c>
      <c r="G21" s="58">
        <f t="shared" si="0"/>
        <v>7029</v>
      </c>
    </row>
    <row r="22" s="6" customFormat="1" ht="25.5" customHeight="1" spans="1:7">
      <c r="A22" s="16" t="s">
        <v>135</v>
      </c>
      <c r="B22" s="68">
        <v>2855</v>
      </c>
      <c r="C22" s="58">
        <v>489</v>
      </c>
      <c r="D22" s="58">
        <v>0</v>
      </c>
      <c r="E22" s="69">
        <v>0</v>
      </c>
      <c r="F22" s="69">
        <v>187</v>
      </c>
      <c r="G22" s="58">
        <f t="shared" si="0"/>
        <v>3531</v>
      </c>
    </row>
    <row r="23" s="6" customFormat="1" ht="25.5" customHeight="1" spans="1:7">
      <c r="A23" s="16" t="s">
        <v>136</v>
      </c>
      <c r="B23" s="68">
        <v>1713</v>
      </c>
      <c r="C23" s="58">
        <v>95</v>
      </c>
      <c r="D23" s="58">
        <v>-120</v>
      </c>
      <c r="E23" s="69">
        <v>119</v>
      </c>
      <c r="F23" s="69">
        <v>1172</v>
      </c>
      <c r="G23" s="58">
        <f t="shared" si="0"/>
        <v>2979</v>
      </c>
    </row>
    <row r="24" s="6" customFormat="1" ht="25.5" customHeight="1" spans="1:7">
      <c r="A24" s="16" t="s">
        <v>137</v>
      </c>
      <c r="B24" s="68">
        <v>3030</v>
      </c>
      <c r="C24" s="58"/>
      <c r="D24" s="58"/>
      <c r="E24" s="69"/>
      <c r="F24" s="69"/>
      <c r="G24" s="58">
        <f t="shared" si="0"/>
        <v>3030</v>
      </c>
    </row>
    <row r="25" s="6" customFormat="1" ht="25.5" customHeight="1" spans="1:7">
      <c r="A25" s="16" t="s">
        <v>138</v>
      </c>
      <c r="B25" s="68">
        <v>3105</v>
      </c>
      <c r="C25" s="58">
        <v>-2600</v>
      </c>
      <c r="D25" s="58"/>
      <c r="E25" s="69"/>
      <c r="F25" s="69"/>
      <c r="G25" s="58">
        <f t="shared" si="0"/>
        <v>505</v>
      </c>
    </row>
    <row r="26" s="6" customFormat="1" ht="25.5" customHeight="1" spans="1:7">
      <c r="A26" s="16" t="s">
        <v>139</v>
      </c>
      <c r="B26" s="68">
        <v>7248</v>
      </c>
      <c r="C26" s="58">
        <v>-842</v>
      </c>
      <c r="D26" s="58"/>
      <c r="E26" s="69"/>
      <c r="F26" s="69"/>
      <c r="G26" s="58">
        <f t="shared" si="0"/>
        <v>6406</v>
      </c>
    </row>
    <row r="27" s="6" customFormat="1" ht="25.5" customHeight="1" spans="1:7">
      <c r="A27" s="65" t="s">
        <v>140</v>
      </c>
      <c r="B27" s="62">
        <f t="shared" ref="B27:G27" si="1">SUM(B5:B26)</f>
        <v>297006</v>
      </c>
      <c r="C27" s="62">
        <f t="shared" si="1"/>
        <v>7509</v>
      </c>
      <c r="D27" s="62">
        <f t="shared" si="1"/>
        <v>7170</v>
      </c>
      <c r="E27" s="62">
        <f t="shared" si="1"/>
        <v>4300</v>
      </c>
      <c r="F27" s="62">
        <f t="shared" si="1"/>
        <v>12486</v>
      </c>
      <c r="G27" s="62">
        <f t="shared" si="1"/>
        <v>328471</v>
      </c>
    </row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</sheetData>
  <autoFilter xmlns:etc="http://www.wps.cn/officeDocument/2017/etCustomData" ref="A3:G27" etc:filterBottomFollowUsedRange="0">
    <extLst/>
  </autoFilter>
  <mergeCells count="1">
    <mergeCell ref="A1:G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1.25"/>
  <cols>
    <col min="1" max="1" width="39.625" style="4" customWidth="1"/>
    <col min="2" max="3" width="18.625" style="6" customWidth="1"/>
    <col min="4" max="4" width="39.625" style="6" customWidth="1"/>
    <col min="5" max="5" width="18.625" style="6" customWidth="1"/>
    <col min="6" max="16384" width="9" style="6"/>
  </cols>
  <sheetData>
    <row r="1" s="19" customFormat="1" ht="27" customHeight="1" spans="1:13">
      <c r="A1" s="49" t="s">
        <v>141</v>
      </c>
      <c r="B1" s="49"/>
      <c r="C1" s="49"/>
      <c r="D1" s="49"/>
      <c r="E1" s="49"/>
      <c r="F1" s="1"/>
      <c r="G1" s="1"/>
      <c r="H1" s="1"/>
      <c r="I1" s="1"/>
      <c r="J1" s="1"/>
      <c r="K1" s="1"/>
      <c r="L1" s="1"/>
      <c r="M1" s="1"/>
    </row>
    <row r="2" s="6" customFormat="1" ht="15" customHeight="1" spans="1:5">
      <c r="A2" s="4"/>
      <c r="B2" s="63"/>
      <c r="C2" s="63"/>
      <c r="D2" s="63"/>
      <c r="E2" s="64" t="s">
        <v>4</v>
      </c>
    </row>
    <row r="3" s="6" customFormat="1" ht="26.5" customHeight="1" spans="1:5">
      <c r="A3" s="26" t="s">
        <v>112</v>
      </c>
      <c r="B3" s="52" t="s">
        <v>8</v>
      </c>
      <c r="C3" s="52" t="s">
        <v>113</v>
      </c>
      <c r="D3" s="52" t="s">
        <v>142</v>
      </c>
      <c r="E3" s="52" t="s">
        <v>9</v>
      </c>
    </row>
    <row r="4" s="48" customFormat="1" ht="23" customHeight="1" spans="1:14">
      <c r="A4" s="27" t="s">
        <v>117</v>
      </c>
      <c r="B4" s="52">
        <v>1</v>
      </c>
      <c r="C4" s="52">
        <v>2</v>
      </c>
      <c r="D4" s="52">
        <v>3</v>
      </c>
      <c r="E4" s="52">
        <v>4</v>
      </c>
      <c r="F4" s="6"/>
      <c r="G4" s="6"/>
      <c r="H4" s="6"/>
      <c r="I4" s="6"/>
      <c r="J4" s="6"/>
      <c r="K4" s="6"/>
      <c r="L4" s="6"/>
      <c r="M4" s="6"/>
      <c r="N4" s="6"/>
    </row>
    <row r="5" s="6" customFormat="1" ht="26.5" customHeight="1" spans="1:5">
      <c r="A5" s="16" t="s">
        <v>118</v>
      </c>
      <c r="B5" s="58">
        <v>32339</v>
      </c>
      <c r="C5" s="58">
        <f>-5738+40+100+20+35</f>
        <v>-5543</v>
      </c>
      <c r="D5" s="58">
        <v>0</v>
      </c>
      <c r="E5" s="58">
        <f>SUM(B5:D5)</f>
        <v>26796</v>
      </c>
    </row>
    <row r="6" s="6" customFormat="1" ht="26.5" customHeight="1" spans="1:5">
      <c r="A6" s="16" t="s">
        <v>119</v>
      </c>
      <c r="B6" s="58">
        <v>292</v>
      </c>
      <c r="C6" s="58">
        <v>1</v>
      </c>
      <c r="D6" s="58">
        <v>0</v>
      </c>
      <c r="E6" s="58">
        <f t="shared" ref="E6:E26" si="0">SUM(B6:D6)</f>
        <v>293</v>
      </c>
    </row>
    <row r="7" s="6" customFormat="1" ht="26.5" customHeight="1" spans="1:5">
      <c r="A7" s="16" t="s">
        <v>120</v>
      </c>
      <c r="B7" s="58">
        <v>1470</v>
      </c>
      <c r="C7" s="58">
        <v>0</v>
      </c>
      <c r="D7" s="58">
        <v>0</v>
      </c>
      <c r="E7" s="58">
        <f t="shared" si="0"/>
        <v>1470</v>
      </c>
    </row>
    <row r="8" s="6" customFormat="1" ht="26.5" customHeight="1" spans="1:5">
      <c r="A8" s="16" t="s">
        <v>121</v>
      </c>
      <c r="B8" s="58">
        <v>32551</v>
      </c>
      <c r="C8" s="58">
        <v>184</v>
      </c>
      <c r="D8" s="58">
        <f>94+3000-1927</f>
        <v>1167</v>
      </c>
      <c r="E8" s="58">
        <f t="shared" si="0"/>
        <v>33902</v>
      </c>
    </row>
    <row r="9" s="6" customFormat="1" ht="26.5" customHeight="1" spans="1:5">
      <c r="A9" s="16" t="s">
        <v>122</v>
      </c>
      <c r="B9" s="58">
        <v>4720</v>
      </c>
      <c r="C9" s="58">
        <v>2693</v>
      </c>
      <c r="D9" s="58">
        <v>570</v>
      </c>
      <c r="E9" s="58">
        <f t="shared" si="0"/>
        <v>7983</v>
      </c>
    </row>
    <row r="10" s="6" customFormat="1" ht="26.5" customHeight="1" spans="1:5">
      <c r="A10" s="16" t="s">
        <v>123</v>
      </c>
      <c r="B10" s="58">
        <v>1052</v>
      </c>
      <c r="C10" s="58">
        <v>107</v>
      </c>
      <c r="D10" s="58">
        <v>0</v>
      </c>
      <c r="E10" s="58">
        <f t="shared" si="0"/>
        <v>1159</v>
      </c>
    </row>
    <row r="11" s="6" customFormat="1" ht="26.5" customHeight="1" spans="1:5">
      <c r="A11" s="16" t="s">
        <v>124</v>
      </c>
      <c r="B11" s="58">
        <v>46715</v>
      </c>
      <c r="C11" s="58">
        <f>1022+14-1200</f>
        <v>-164</v>
      </c>
      <c r="D11" s="58">
        <v>-2000</v>
      </c>
      <c r="E11" s="58">
        <f t="shared" si="0"/>
        <v>44551</v>
      </c>
    </row>
    <row r="12" s="6" customFormat="1" ht="26.5" customHeight="1" spans="1:5">
      <c r="A12" s="16" t="s">
        <v>125</v>
      </c>
      <c r="B12" s="58">
        <v>16146</v>
      </c>
      <c r="C12" s="58">
        <f>-118+92-64</f>
        <v>-90</v>
      </c>
      <c r="D12" s="58">
        <v>107</v>
      </c>
      <c r="E12" s="58">
        <f t="shared" si="0"/>
        <v>16163</v>
      </c>
    </row>
    <row r="13" s="6" customFormat="1" ht="26.5" customHeight="1" spans="1:5">
      <c r="A13" s="16" t="s">
        <v>126</v>
      </c>
      <c r="B13" s="58">
        <v>583</v>
      </c>
      <c r="C13" s="58">
        <v>129</v>
      </c>
      <c r="D13" s="58">
        <v>0</v>
      </c>
      <c r="E13" s="58">
        <f t="shared" si="0"/>
        <v>712</v>
      </c>
    </row>
    <row r="14" s="6" customFormat="1" ht="26.5" customHeight="1" spans="1:5">
      <c r="A14" s="16" t="s">
        <v>127</v>
      </c>
      <c r="B14" s="58">
        <v>20365</v>
      </c>
      <c r="C14" s="58">
        <v>9680</v>
      </c>
      <c r="D14" s="58">
        <f>8014-2000</f>
        <v>6014</v>
      </c>
      <c r="E14" s="58">
        <f t="shared" si="0"/>
        <v>36059</v>
      </c>
    </row>
    <row r="15" s="6" customFormat="1" ht="26.5" customHeight="1" spans="1:5">
      <c r="A15" s="16" t="s">
        <v>128</v>
      </c>
      <c r="B15" s="58">
        <v>13756</v>
      </c>
      <c r="C15" s="58">
        <f>1858+1395+17+100</f>
        <v>3370</v>
      </c>
      <c r="D15" s="58">
        <f>202+1000</f>
        <v>1202</v>
      </c>
      <c r="E15" s="58">
        <f t="shared" si="0"/>
        <v>18328</v>
      </c>
    </row>
    <row r="16" s="6" customFormat="1" ht="26.5" customHeight="1" spans="1:5">
      <c r="A16" s="16" t="s">
        <v>129</v>
      </c>
      <c r="B16" s="58">
        <v>1837</v>
      </c>
      <c r="C16" s="58">
        <v>0</v>
      </c>
      <c r="D16" s="58">
        <v>220</v>
      </c>
      <c r="E16" s="58">
        <f t="shared" si="0"/>
        <v>2057</v>
      </c>
    </row>
    <row r="17" s="6" customFormat="1" ht="26.5" customHeight="1" spans="1:5">
      <c r="A17" s="16" t="s">
        <v>130</v>
      </c>
      <c r="B17" s="58">
        <v>381</v>
      </c>
      <c r="C17" s="58">
        <v>0</v>
      </c>
      <c r="D17" s="58">
        <v>0</v>
      </c>
      <c r="E17" s="58">
        <f t="shared" si="0"/>
        <v>381</v>
      </c>
    </row>
    <row r="18" s="6" customFormat="1" ht="26.5" customHeight="1" spans="1:5">
      <c r="A18" s="16" t="s">
        <v>131</v>
      </c>
      <c r="B18" s="58">
        <v>113</v>
      </c>
      <c r="C18" s="58">
        <v>0</v>
      </c>
      <c r="D18" s="58">
        <v>0</v>
      </c>
      <c r="E18" s="58">
        <f t="shared" si="0"/>
        <v>113</v>
      </c>
    </row>
    <row r="19" s="6" customFormat="1" ht="26.5" customHeight="1" spans="1:5">
      <c r="A19" s="16" t="s">
        <v>132</v>
      </c>
      <c r="B19" s="58"/>
      <c r="C19" s="58">
        <v>0</v>
      </c>
      <c r="D19" s="58">
        <v>0</v>
      </c>
      <c r="E19" s="58">
        <f t="shared" si="0"/>
        <v>0</v>
      </c>
    </row>
    <row r="20" s="6" customFormat="1" ht="26.5" customHeight="1" spans="1:5">
      <c r="A20" s="16" t="s">
        <v>133</v>
      </c>
      <c r="B20" s="58">
        <v>730</v>
      </c>
      <c r="C20" s="58">
        <v>0</v>
      </c>
      <c r="D20" s="58">
        <v>0</v>
      </c>
      <c r="E20" s="58">
        <f t="shared" si="0"/>
        <v>730</v>
      </c>
    </row>
    <row r="21" s="6" customFormat="1" ht="26.5" customHeight="1" spans="1:5">
      <c r="A21" s="16" t="s">
        <v>134</v>
      </c>
      <c r="B21" s="58">
        <v>2683</v>
      </c>
      <c r="C21" s="58">
        <v>0</v>
      </c>
      <c r="D21" s="58">
        <v>10</v>
      </c>
      <c r="E21" s="58">
        <f t="shared" si="0"/>
        <v>2693</v>
      </c>
    </row>
    <row r="22" s="6" customFormat="1" ht="26.5" customHeight="1" spans="1:5">
      <c r="A22" s="16" t="s">
        <v>135</v>
      </c>
      <c r="B22" s="58">
        <v>273</v>
      </c>
      <c r="C22" s="58">
        <v>489</v>
      </c>
      <c r="D22" s="58">
        <v>0</v>
      </c>
      <c r="E22" s="58">
        <f t="shared" si="0"/>
        <v>762</v>
      </c>
    </row>
    <row r="23" s="6" customFormat="1" ht="26.5" customHeight="1" spans="1:5">
      <c r="A23" s="16" t="s">
        <v>136</v>
      </c>
      <c r="B23" s="58">
        <v>1097</v>
      </c>
      <c r="C23" s="58">
        <v>95</v>
      </c>
      <c r="D23" s="58">
        <v>-120</v>
      </c>
      <c r="E23" s="58">
        <f t="shared" si="0"/>
        <v>1072</v>
      </c>
    </row>
    <row r="24" s="6" customFormat="1" ht="26.5" customHeight="1" spans="1:5">
      <c r="A24" s="16" t="s">
        <v>137</v>
      </c>
      <c r="B24" s="58">
        <v>3030</v>
      </c>
      <c r="C24" s="58"/>
      <c r="D24" s="58"/>
      <c r="E24" s="58">
        <f t="shared" si="0"/>
        <v>3030</v>
      </c>
    </row>
    <row r="25" s="6" customFormat="1" ht="26.5" customHeight="1" spans="1:5">
      <c r="A25" s="16" t="s">
        <v>138</v>
      </c>
      <c r="B25" s="58">
        <v>3105</v>
      </c>
      <c r="C25" s="58">
        <v>-2600</v>
      </c>
      <c r="D25" s="58"/>
      <c r="E25" s="58">
        <f t="shared" si="0"/>
        <v>505</v>
      </c>
    </row>
    <row r="26" s="6" customFormat="1" ht="26.5" customHeight="1" spans="1:5">
      <c r="A26" s="16" t="s">
        <v>139</v>
      </c>
      <c r="B26" s="58">
        <v>7248</v>
      </c>
      <c r="C26" s="58">
        <v>-842</v>
      </c>
      <c r="D26" s="58"/>
      <c r="E26" s="58">
        <f t="shared" si="0"/>
        <v>6406</v>
      </c>
    </row>
    <row r="27" s="6" customFormat="1" ht="26.5" customHeight="1" spans="1:5">
      <c r="A27" s="65" t="s">
        <v>140</v>
      </c>
      <c r="B27" s="62">
        <f>SUM(B5:B26)</f>
        <v>190486</v>
      </c>
      <c r="C27" s="62">
        <f>SUM(C5:C26)</f>
        <v>7509</v>
      </c>
      <c r="D27" s="62">
        <f>SUM(D5:D26)</f>
        <v>7170</v>
      </c>
      <c r="E27" s="62">
        <f>SUM(E5:E26)</f>
        <v>205165</v>
      </c>
    </row>
    <row r="28" s="6" customFormat="1" spans="1:1">
      <c r="A28" s="4"/>
    </row>
    <row r="29" s="6" customFormat="1" spans="1:1">
      <c r="A29" s="4"/>
    </row>
    <row r="30" s="6" customFormat="1" spans="1:1">
      <c r="A30" s="4"/>
    </row>
    <row r="31" s="6" customFormat="1" spans="1:1">
      <c r="A31" s="4"/>
    </row>
    <row r="32" s="6" customFormat="1" spans="1:1">
      <c r="A32" s="4"/>
    </row>
    <row r="33" s="6" customFormat="1" spans="1:1">
      <c r="A33" s="4"/>
    </row>
  </sheetData>
  <autoFilter xmlns:etc="http://www.wps.cn/officeDocument/2017/etCustomData" ref="A3:N27" etc:filterBottomFollowUsedRange="0">
    <extLst/>
  </autoFilter>
  <mergeCells count="2">
    <mergeCell ref="A1:E1"/>
    <mergeCell ref="C2:D2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view="pageBreakPreview" zoomScaleNormal="100" workbookViewId="0">
      <selection activeCell="G13" sqref="G13"/>
    </sheetView>
  </sheetViews>
  <sheetFormatPr defaultColWidth="9" defaultRowHeight="11.25"/>
  <cols>
    <col min="1" max="1" width="11.5" style="6" customWidth="1"/>
    <col min="2" max="2" width="89.875" style="6" customWidth="1"/>
    <col min="3" max="3" width="34.75" style="6" customWidth="1"/>
    <col min="4" max="16384" width="9" style="6"/>
  </cols>
  <sheetData>
    <row r="1" s="19" customFormat="1" ht="27" customHeight="1" spans="1:15">
      <c r="A1" s="49" t="s">
        <v>143</v>
      </c>
      <c r="B1" s="49"/>
      <c r="C1" s="4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6" customFormat="1" ht="15" customHeight="1" spans="3:3">
      <c r="C2" s="25" t="s">
        <v>4</v>
      </c>
    </row>
    <row r="3" s="6" customFormat="1" ht="26.5" customHeight="1" spans="1:3">
      <c r="A3" s="56" t="s">
        <v>117</v>
      </c>
      <c r="B3" s="26" t="s">
        <v>112</v>
      </c>
      <c r="C3" s="56" t="s">
        <v>144</v>
      </c>
    </row>
    <row r="4" s="6" customFormat="1" ht="26.5" customHeight="1" spans="1:3">
      <c r="A4" s="57">
        <v>1</v>
      </c>
      <c r="B4" s="16" t="s">
        <v>118</v>
      </c>
      <c r="C4" s="58">
        <v>100</v>
      </c>
    </row>
    <row r="5" s="6" customFormat="1" ht="26.5" customHeight="1" spans="1:3">
      <c r="A5" s="57">
        <v>2</v>
      </c>
      <c r="B5" s="16" t="s">
        <v>119</v>
      </c>
      <c r="C5" s="58"/>
    </row>
    <row r="6" s="6" customFormat="1" ht="26.5" customHeight="1" spans="1:3">
      <c r="A6" s="57">
        <v>3</v>
      </c>
      <c r="B6" s="16" t="s">
        <v>145</v>
      </c>
      <c r="C6" s="58"/>
    </row>
    <row r="7" s="6" customFormat="1" ht="26.5" customHeight="1" spans="1:3">
      <c r="A7" s="57">
        <v>4</v>
      </c>
      <c r="B7" s="16" t="s">
        <v>121</v>
      </c>
      <c r="C7" s="58"/>
    </row>
    <row r="8" s="6" customFormat="1" ht="26.5" customHeight="1" spans="1:3">
      <c r="A8" s="57">
        <v>5</v>
      </c>
      <c r="B8" s="16" t="s">
        <v>146</v>
      </c>
      <c r="C8" s="58"/>
    </row>
    <row r="9" s="6" customFormat="1" ht="26.5" customHeight="1" spans="1:3">
      <c r="A9" s="57">
        <v>6</v>
      </c>
      <c r="B9" s="16" t="s">
        <v>147</v>
      </c>
      <c r="C9" s="58"/>
    </row>
    <row r="10" s="6" customFormat="1" ht="26.5" customHeight="1" spans="1:3">
      <c r="A10" s="57">
        <v>7</v>
      </c>
      <c r="B10" s="16" t="s">
        <v>124</v>
      </c>
      <c r="C10" s="58"/>
    </row>
    <row r="11" s="6" customFormat="1" ht="26.5" customHeight="1" spans="1:3">
      <c r="A11" s="57">
        <v>8</v>
      </c>
      <c r="B11" s="16" t="s">
        <v>125</v>
      </c>
      <c r="C11" s="58">
        <v>14</v>
      </c>
    </row>
    <row r="12" s="6" customFormat="1" ht="26.5" customHeight="1" spans="1:3">
      <c r="A12" s="57">
        <v>9</v>
      </c>
      <c r="B12" s="16" t="s">
        <v>148</v>
      </c>
      <c r="C12" s="58"/>
    </row>
    <row r="13" s="6" customFormat="1" ht="26.5" customHeight="1" spans="1:3">
      <c r="A13" s="57">
        <v>10</v>
      </c>
      <c r="B13" s="16" t="s">
        <v>127</v>
      </c>
      <c r="C13" s="58"/>
    </row>
    <row r="14" s="6" customFormat="1" ht="26.5" customHeight="1" spans="1:3">
      <c r="A14" s="57">
        <v>11</v>
      </c>
      <c r="B14" s="16" t="s">
        <v>128</v>
      </c>
      <c r="C14" s="58">
        <v>43</v>
      </c>
    </row>
    <row r="15" s="6" customFormat="1" ht="26.5" customHeight="1" spans="1:3">
      <c r="A15" s="57">
        <v>12</v>
      </c>
      <c r="B15" s="16" t="s">
        <v>149</v>
      </c>
      <c r="C15" s="58"/>
    </row>
    <row r="16" s="6" customFormat="1" ht="26.5" customHeight="1" spans="1:3">
      <c r="A16" s="57">
        <v>13</v>
      </c>
      <c r="B16" s="16" t="s">
        <v>150</v>
      </c>
      <c r="C16" s="58"/>
    </row>
    <row r="17" s="6" customFormat="1" ht="26.5" customHeight="1" spans="1:3">
      <c r="A17" s="57">
        <v>14</v>
      </c>
      <c r="B17" s="59" t="s">
        <v>151</v>
      </c>
      <c r="C17" s="58"/>
    </row>
    <row r="18" s="6" customFormat="1" ht="26.5" customHeight="1" spans="1:3">
      <c r="A18" s="60" t="s">
        <v>152</v>
      </c>
      <c r="B18" s="61"/>
      <c r="C18" s="62">
        <f>SUM(C4:C17)</f>
        <v>157</v>
      </c>
    </row>
  </sheetData>
  <mergeCells count="2">
    <mergeCell ref="A1:C1"/>
    <mergeCell ref="A18:B18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9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1.25"/>
  <cols>
    <col min="1" max="1" width="21.375" style="6" customWidth="1"/>
    <col min="2" max="2" width="8.75" style="11" customWidth="1"/>
    <col min="3" max="3" width="8.25" style="11" customWidth="1"/>
    <col min="4" max="4" width="7.375" style="11" customWidth="1"/>
    <col min="5" max="5" width="9.125" style="11" customWidth="1"/>
    <col min="6" max="6" width="7.5" style="11" customWidth="1"/>
    <col min="7" max="7" width="8.68333333333333" style="11" customWidth="1"/>
    <col min="8" max="8" width="8.75" style="11" customWidth="1"/>
    <col min="9" max="9" width="56.5" style="4" customWidth="1"/>
    <col min="10" max="16381" width="9" style="6"/>
    <col min="16382" max="16384" width="9" style="20"/>
  </cols>
  <sheetData>
    <row r="1" s="47" customFormat="1" ht="27" customHeight="1" spans="1:16383">
      <c r="A1" s="49" t="s">
        <v>153</v>
      </c>
      <c r="B1" s="22"/>
      <c r="C1" s="22"/>
      <c r="D1" s="22"/>
      <c r="E1" s="22"/>
      <c r="F1" s="22"/>
      <c r="G1" s="22"/>
      <c r="H1" s="22"/>
      <c r="I1" s="54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36"/>
      <c r="XFC1" s="36"/>
    </row>
    <row r="2" s="6" customFormat="1" ht="15" customHeight="1" spans="1:9">
      <c r="A2" s="50"/>
      <c r="B2" s="51"/>
      <c r="C2" s="51"/>
      <c r="D2" s="51"/>
      <c r="E2" s="51"/>
      <c r="F2" s="51"/>
      <c r="G2" s="51"/>
      <c r="H2" s="51"/>
      <c r="I2" s="25" t="s">
        <v>4</v>
      </c>
    </row>
    <row r="3" s="48" customFormat="1" ht="20" customHeight="1" spans="1:13">
      <c r="A3" s="27" t="s">
        <v>154</v>
      </c>
      <c r="B3" s="27" t="s">
        <v>8</v>
      </c>
      <c r="C3" s="27" t="s">
        <v>155</v>
      </c>
      <c r="D3" s="27"/>
      <c r="E3" s="27"/>
      <c r="F3" s="27"/>
      <c r="G3" s="28" t="s">
        <v>156</v>
      </c>
      <c r="H3" s="28" t="s">
        <v>9</v>
      </c>
      <c r="I3" s="27" t="s">
        <v>157</v>
      </c>
      <c r="J3" s="6"/>
      <c r="K3" s="6"/>
      <c r="L3" s="6"/>
      <c r="M3" s="6"/>
    </row>
    <row r="4" s="48" customFormat="1" ht="37" customHeight="1" spans="1:13">
      <c r="A4" s="27"/>
      <c r="B4" s="27"/>
      <c r="C4" s="27" t="s">
        <v>158</v>
      </c>
      <c r="D4" s="52" t="s">
        <v>159</v>
      </c>
      <c r="E4" s="52" t="s">
        <v>160</v>
      </c>
      <c r="F4" s="52" t="s">
        <v>161</v>
      </c>
      <c r="G4" s="29"/>
      <c r="H4" s="29"/>
      <c r="I4" s="27"/>
      <c r="J4" s="6"/>
      <c r="K4" s="6"/>
      <c r="L4" s="6"/>
      <c r="M4" s="6"/>
    </row>
    <row r="5" s="48" customFormat="1" ht="24" customHeight="1" spans="1:13">
      <c r="A5" s="27" t="s">
        <v>117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27"/>
      <c r="J5" s="6"/>
      <c r="K5" s="6"/>
      <c r="L5" s="6"/>
      <c r="M5" s="6"/>
    </row>
    <row r="6" s="6" customFormat="1" ht="24" customHeight="1" spans="1:9">
      <c r="A6" s="31" t="s">
        <v>162</v>
      </c>
      <c r="B6" s="15">
        <f>SUM(B7:B144)</f>
        <v>190486.004616</v>
      </c>
      <c r="C6" s="15">
        <f>D6+E6+F6</f>
        <v>18978.504596</v>
      </c>
      <c r="D6" s="15">
        <f>SUM(D7:D144)</f>
        <v>7508.104596</v>
      </c>
      <c r="E6" s="15">
        <f>SUM(E7:E158)</f>
        <v>7170.4</v>
      </c>
      <c r="F6" s="15">
        <f>SUM(F7:F159)</f>
        <v>4300</v>
      </c>
      <c r="G6" s="15">
        <f>SUM(G7:G159)</f>
        <v>119006</v>
      </c>
      <c r="H6" s="15">
        <f>B6+C6+G6</f>
        <v>328470.509212</v>
      </c>
      <c r="I6" s="33"/>
    </row>
    <row r="7" s="6" customFormat="1" ht="24" customHeight="1" spans="1:9">
      <c r="A7" s="53" t="s">
        <v>163</v>
      </c>
      <c r="B7" s="17">
        <v>632.964669</v>
      </c>
      <c r="C7" s="17">
        <f t="shared" ref="C7:C38" si="0">D7+E7+F7</f>
        <v>48.7215</v>
      </c>
      <c r="D7" s="17">
        <f>VLOOKUP(A7,'6.经费拨款'!$A$7:$C$144,3,0)</f>
        <v>48.7215</v>
      </c>
      <c r="E7" s="17"/>
      <c r="F7" s="17"/>
      <c r="G7" s="17">
        <v>18</v>
      </c>
      <c r="H7" s="17">
        <f t="shared" ref="H7:H38" si="1">B7+C7+G7</f>
        <v>699.686169</v>
      </c>
      <c r="I7" s="33"/>
    </row>
    <row r="8" s="6" customFormat="1" ht="24" customHeight="1" spans="1:9">
      <c r="A8" s="53" t="s">
        <v>164</v>
      </c>
      <c r="B8" s="17">
        <v>971.119565</v>
      </c>
      <c r="C8" s="17">
        <f t="shared" si="0"/>
        <v>75.821825</v>
      </c>
      <c r="D8" s="17">
        <f>VLOOKUP(A8,'6.经费拨款'!$A$7:$C$144,3,0)</f>
        <v>75.821825</v>
      </c>
      <c r="E8" s="17"/>
      <c r="F8" s="17"/>
      <c r="G8" s="17">
        <v>0</v>
      </c>
      <c r="H8" s="17">
        <f t="shared" si="1"/>
        <v>1046.94139</v>
      </c>
      <c r="I8" s="33" t="s">
        <v>165</v>
      </c>
    </row>
    <row r="9" s="6" customFormat="1" ht="24" customHeight="1" spans="1:9">
      <c r="A9" s="53" t="s">
        <v>166</v>
      </c>
      <c r="B9" s="17">
        <v>1006.311262</v>
      </c>
      <c r="C9" s="17">
        <f t="shared" si="0"/>
        <v>224.8896</v>
      </c>
      <c r="D9" s="17">
        <f>VLOOKUP(A9,'6.经费拨款'!$A$7:$C$144,3,0)</f>
        <v>123.8896</v>
      </c>
      <c r="E9" s="17">
        <v>101</v>
      </c>
      <c r="F9" s="17"/>
      <c r="G9" s="17">
        <v>30</v>
      </c>
      <c r="H9" s="17">
        <f t="shared" si="1"/>
        <v>1261.200862</v>
      </c>
      <c r="I9" s="33"/>
    </row>
    <row r="10" s="6" customFormat="1" ht="24" customHeight="1" spans="1:9">
      <c r="A10" s="53" t="s">
        <v>167</v>
      </c>
      <c r="B10" s="17">
        <v>735.163985</v>
      </c>
      <c r="C10" s="17">
        <f t="shared" si="0"/>
        <v>60.9234</v>
      </c>
      <c r="D10" s="17">
        <f>VLOOKUP(A10,'6.经费拨款'!$A$7:$C$144,3,0)</f>
        <v>60.9234</v>
      </c>
      <c r="E10" s="17"/>
      <c r="F10" s="17"/>
      <c r="G10" s="17">
        <v>0</v>
      </c>
      <c r="H10" s="17">
        <f t="shared" si="1"/>
        <v>796.087385</v>
      </c>
      <c r="I10" s="33"/>
    </row>
    <row r="11" s="6" customFormat="1" ht="24" customHeight="1" spans="1:9">
      <c r="A11" s="53" t="s">
        <v>168</v>
      </c>
      <c r="B11" s="17">
        <v>1328.920198</v>
      </c>
      <c r="C11" s="17">
        <f t="shared" si="0"/>
        <v>80.783409</v>
      </c>
      <c r="D11" s="17">
        <f>VLOOKUP(A11,'6.经费拨款'!$A$7:$C$144,3,0)</f>
        <v>80.783409</v>
      </c>
      <c r="E11" s="17"/>
      <c r="F11" s="17"/>
      <c r="G11" s="17">
        <v>15</v>
      </c>
      <c r="H11" s="17">
        <f t="shared" si="1"/>
        <v>1424.703607</v>
      </c>
      <c r="I11" s="33"/>
    </row>
    <row r="12" s="6" customFormat="1" ht="24" customHeight="1" spans="1:9">
      <c r="A12" s="53" t="s">
        <v>169</v>
      </c>
      <c r="B12" s="17">
        <v>987.69193</v>
      </c>
      <c r="C12" s="17">
        <f t="shared" si="0"/>
        <v>54.18275</v>
      </c>
      <c r="D12" s="17">
        <f>VLOOKUP(A12,'6.经费拨款'!$A$7:$C$144,3,0)</f>
        <v>54.18275</v>
      </c>
      <c r="E12" s="17"/>
      <c r="F12" s="17"/>
      <c r="G12" s="17">
        <v>22</v>
      </c>
      <c r="H12" s="17">
        <f t="shared" si="1"/>
        <v>1063.87468</v>
      </c>
      <c r="I12" s="33"/>
    </row>
    <row r="13" s="6" customFormat="1" ht="24" customHeight="1" spans="1:9">
      <c r="A13" s="53" t="s">
        <v>170</v>
      </c>
      <c r="B13" s="17">
        <v>474.052547</v>
      </c>
      <c r="C13" s="17">
        <f t="shared" si="0"/>
        <v>45.298825</v>
      </c>
      <c r="D13" s="17">
        <f>VLOOKUP(A13,'6.经费拨款'!$A$7:$C$144,3,0)</f>
        <v>45.298825</v>
      </c>
      <c r="E13" s="17"/>
      <c r="F13" s="17"/>
      <c r="G13" s="17">
        <v>56</v>
      </c>
      <c r="H13" s="17">
        <f t="shared" si="1"/>
        <v>575.351372</v>
      </c>
      <c r="I13" s="33"/>
    </row>
    <row r="14" s="6" customFormat="1" ht="24" customHeight="1" spans="1:9">
      <c r="A14" s="53" t="s">
        <v>171</v>
      </c>
      <c r="B14" s="17">
        <v>402.745509</v>
      </c>
      <c r="C14" s="17">
        <f t="shared" si="0"/>
        <v>46.8621</v>
      </c>
      <c r="D14" s="17">
        <f>VLOOKUP(A14,'6.经费拨款'!$A$7:$C$144,3,0)</f>
        <v>16.8621</v>
      </c>
      <c r="E14" s="17">
        <v>30</v>
      </c>
      <c r="F14" s="17"/>
      <c r="G14" s="17">
        <v>30</v>
      </c>
      <c r="H14" s="17">
        <f t="shared" si="1"/>
        <v>479.607609</v>
      </c>
      <c r="I14" s="33"/>
    </row>
    <row r="15" s="6" customFormat="1" ht="24" customHeight="1" spans="1:9">
      <c r="A15" s="53" t="s">
        <v>172</v>
      </c>
      <c r="B15" s="17">
        <v>189.245446</v>
      </c>
      <c r="C15" s="17">
        <f t="shared" si="0"/>
        <v>34.6733</v>
      </c>
      <c r="D15" s="17">
        <f>VLOOKUP(A15,'6.经费拨款'!$A$7:$C$144,3,0)</f>
        <v>34.6733</v>
      </c>
      <c r="E15" s="17"/>
      <c r="F15" s="17"/>
      <c r="G15" s="17">
        <v>4</v>
      </c>
      <c r="H15" s="17">
        <f t="shared" si="1"/>
        <v>227.918746</v>
      </c>
      <c r="I15" s="33"/>
    </row>
    <row r="16" s="6" customFormat="1" ht="24" customHeight="1" spans="1:9">
      <c r="A16" s="53" t="s">
        <v>173</v>
      </c>
      <c r="B16" s="17">
        <v>681.905016</v>
      </c>
      <c r="C16" s="17">
        <f t="shared" si="0"/>
        <v>139.956</v>
      </c>
      <c r="D16" s="17">
        <f>VLOOKUP(A16,'6.经费拨款'!$A$7:$C$144,3,0)</f>
        <v>134.956</v>
      </c>
      <c r="E16" s="17">
        <v>5</v>
      </c>
      <c r="F16" s="17"/>
      <c r="G16" s="17">
        <v>133</v>
      </c>
      <c r="H16" s="17">
        <f t="shared" si="1"/>
        <v>954.861016</v>
      </c>
      <c r="I16" s="35"/>
    </row>
    <row r="17" s="6" customFormat="1" ht="24" customHeight="1" spans="1:9">
      <c r="A17" s="53" t="s">
        <v>66</v>
      </c>
      <c r="B17" s="17">
        <v>1096.836144</v>
      </c>
      <c r="C17" s="17">
        <f t="shared" si="0"/>
        <v>192.0648</v>
      </c>
      <c r="D17" s="17">
        <f>VLOOKUP(A17,'6.经费拨款'!$A$7:$C$144,3,0)</f>
        <v>162.0648</v>
      </c>
      <c r="E17" s="17">
        <v>30</v>
      </c>
      <c r="F17" s="17"/>
      <c r="G17" s="17">
        <v>5</v>
      </c>
      <c r="H17" s="17">
        <f t="shared" si="1"/>
        <v>1293.900944</v>
      </c>
      <c r="I17" s="33"/>
    </row>
    <row r="18" s="6" customFormat="1" ht="24" customHeight="1" spans="1:9">
      <c r="A18" s="53" t="s">
        <v>174</v>
      </c>
      <c r="B18" s="17">
        <v>457.567534</v>
      </c>
      <c r="C18" s="17">
        <f t="shared" si="0"/>
        <v>46.6851</v>
      </c>
      <c r="D18" s="17">
        <f>VLOOKUP(A18,'6.经费拨款'!$A$7:$C$144,3,0)</f>
        <v>46.6851</v>
      </c>
      <c r="E18" s="17"/>
      <c r="F18" s="17"/>
      <c r="G18" s="17">
        <v>0</v>
      </c>
      <c r="H18" s="17">
        <f t="shared" si="1"/>
        <v>504.252634</v>
      </c>
      <c r="I18" s="33"/>
    </row>
    <row r="19" s="6" customFormat="1" ht="24" customHeight="1" spans="1:9">
      <c r="A19" s="53" t="s">
        <v>175</v>
      </c>
      <c r="B19" s="17">
        <v>240.028355</v>
      </c>
      <c r="C19" s="17">
        <f t="shared" si="0"/>
        <v>43.1562</v>
      </c>
      <c r="D19" s="17">
        <f>VLOOKUP(A19,'6.经费拨款'!$A$7:$C$144,3,0)</f>
        <v>43.1562</v>
      </c>
      <c r="E19" s="17"/>
      <c r="F19" s="17"/>
      <c r="G19" s="17">
        <v>7</v>
      </c>
      <c r="H19" s="17">
        <f t="shared" si="1"/>
        <v>290.184555</v>
      </c>
      <c r="I19" s="33"/>
    </row>
    <row r="20" s="6" customFormat="1" ht="24" customHeight="1" spans="1:9">
      <c r="A20" s="53" t="s">
        <v>176</v>
      </c>
      <c r="B20" s="17">
        <v>214.508365</v>
      </c>
      <c r="C20" s="17">
        <f t="shared" si="0"/>
        <v>12.1898</v>
      </c>
      <c r="D20" s="17">
        <f>VLOOKUP(A20,'6.经费拨款'!$A$7:$C$144,3,0)</f>
        <v>12.1898</v>
      </c>
      <c r="E20" s="17"/>
      <c r="F20" s="17"/>
      <c r="G20" s="17">
        <v>5</v>
      </c>
      <c r="H20" s="17">
        <f t="shared" si="1"/>
        <v>231.698165</v>
      </c>
      <c r="I20" s="33"/>
    </row>
    <row r="21" s="6" customFormat="1" ht="24" customHeight="1" spans="1:9">
      <c r="A21" s="53" t="s">
        <v>177</v>
      </c>
      <c r="B21" s="17">
        <v>525.855796</v>
      </c>
      <c r="C21" s="17">
        <f t="shared" si="0"/>
        <v>22.55215</v>
      </c>
      <c r="D21" s="17">
        <f>VLOOKUP(A21,'6.经费拨款'!$A$7:$C$144,3,0)</f>
        <v>22.55215</v>
      </c>
      <c r="E21" s="17"/>
      <c r="F21" s="17"/>
      <c r="G21" s="17">
        <v>13</v>
      </c>
      <c r="H21" s="17">
        <f t="shared" si="1"/>
        <v>561.407946</v>
      </c>
      <c r="I21" s="33"/>
    </row>
    <row r="22" s="6" customFormat="1" ht="24" customHeight="1" spans="1:9">
      <c r="A22" s="53" t="s">
        <v>178</v>
      </c>
      <c r="B22" s="17">
        <v>400.808788</v>
      </c>
      <c r="C22" s="17">
        <f t="shared" si="0"/>
        <v>177.08967</v>
      </c>
      <c r="D22" s="17">
        <f>VLOOKUP(A22,'6.经费拨款'!$A$7:$C$144,3,0)</f>
        <v>159.08967</v>
      </c>
      <c r="E22" s="17">
        <v>18</v>
      </c>
      <c r="F22" s="17"/>
      <c r="G22" s="17">
        <v>5</v>
      </c>
      <c r="H22" s="17">
        <f t="shared" si="1"/>
        <v>582.898458</v>
      </c>
      <c r="I22" s="16" t="s">
        <v>179</v>
      </c>
    </row>
    <row r="23" s="6" customFormat="1" ht="24" customHeight="1" spans="1:9">
      <c r="A23" s="53" t="s">
        <v>180</v>
      </c>
      <c r="B23" s="17">
        <v>103.496992</v>
      </c>
      <c r="C23" s="17">
        <f t="shared" si="0"/>
        <v>14.7071</v>
      </c>
      <c r="D23" s="17">
        <f>VLOOKUP(A23,'6.经费拨款'!$A$7:$C$144,3,0)</f>
        <v>14.7071</v>
      </c>
      <c r="E23" s="17"/>
      <c r="F23" s="17"/>
      <c r="G23" s="17">
        <v>5</v>
      </c>
      <c r="H23" s="17">
        <f t="shared" si="1"/>
        <v>123.204092</v>
      </c>
      <c r="I23" s="33"/>
    </row>
    <row r="24" s="6" customFormat="1" ht="24" customHeight="1" spans="1:9">
      <c r="A24" s="53" t="s">
        <v>181</v>
      </c>
      <c r="B24" s="17">
        <v>128.419205</v>
      </c>
      <c r="C24" s="17">
        <f t="shared" si="0"/>
        <v>17.425</v>
      </c>
      <c r="D24" s="17">
        <f>VLOOKUP(A24,'6.经费拨款'!$A$7:$C$144,3,0)</f>
        <v>17.425</v>
      </c>
      <c r="E24" s="17"/>
      <c r="F24" s="17"/>
      <c r="G24" s="17">
        <v>5</v>
      </c>
      <c r="H24" s="17">
        <f t="shared" si="1"/>
        <v>150.844205</v>
      </c>
      <c r="I24" s="33"/>
    </row>
    <row r="25" s="6" customFormat="1" ht="24" customHeight="1" spans="1:9">
      <c r="A25" s="53" t="s">
        <v>182</v>
      </c>
      <c r="B25" s="17">
        <v>107.270118</v>
      </c>
      <c r="C25" s="17">
        <f t="shared" si="0"/>
        <v>6.5977</v>
      </c>
      <c r="D25" s="17">
        <f>VLOOKUP(A25,'6.经费拨款'!$A$7:$C$144,3,0)</f>
        <v>6.5977</v>
      </c>
      <c r="E25" s="17"/>
      <c r="F25" s="17"/>
      <c r="G25" s="17">
        <v>0</v>
      </c>
      <c r="H25" s="17">
        <f t="shared" si="1"/>
        <v>113.867818</v>
      </c>
      <c r="I25" s="33"/>
    </row>
    <row r="26" s="6" customFormat="1" ht="24" customHeight="1" spans="1:9">
      <c r="A26" s="53" t="s">
        <v>183</v>
      </c>
      <c r="B26" s="17">
        <v>89.069316</v>
      </c>
      <c r="C26" s="17">
        <f t="shared" si="0"/>
        <v>4.0836</v>
      </c>
      <c r="D26" s="17">
        <f>VLOOKUP(A26,'6.经费拨款'!$A$7:$C$144,3,0)</f>
        <v>4.0836</v>
      </c>
      <c r="E26" s="17"/>
      <c r="F26" s="17"/>
      <c r="G26" s="17">
        <v>3</v>
      </c>
      <c r="H26" s="17">
        <f t="shared" si="1"/>
        <v>96.152916</v>
      </c>
      <c r="I26" s="33"/>
    </row>
    <row r="27" s="6" customFormat="1" ht="24" customHeight="1" spans="1:9">
      <c r="A27" s="53" t="s">
        <v>184</v>
      </c>
      <c r="B27" s="17">
        <v>83.555687</v>
      </c>
      <c r="C27" s="17">
        <f t="shared" si="0"/>
        <v>12.2311</v>
      </c>
      <c r="D27" s="17">
        <f>VLOOKUP(A27,'6.经费拨款'!$A$7:$C$144,3,0)</f>
        <v>7.2311</v>
      </c>
      <c r="E27" s="17">
        <v>5</v>
      </c>
      <c r="F27" s="17"/>
      <c r="G27" s="17">
        <v>7</v>
      </c>
      <c r="H27" s="17">
        <f t="shared" si="1"/>
        <v>102.786787</v>
      </c>
      <c r="I27" s="33"/>
    </row>
    <row r="28" s="6" customFormat="1" ht="24" customHeight="1" spans="1:9">
      <c r="A28" s="53" t="s">
        <v>185</v>
      </c>
      <c r="B28" s="17">
        <v>58.841272</v>
      </c>
      <c r="C28" s="17">
        <f t="shared" si="0"/>
        <v>17.804</v>
      </c>
      <c r="D28" s="17">
        <f>VLOOKUP(A28,'6.经费拨款'!$A$7:$C$144,3,0)</f>
        <v>7.804</v>
      </c>
      <c r="E28" s="17">
        <v>10</v>
      </c>
      <c r="F28" s="17"/>
      <c r="G28" s="17">
        <v>4</v>
      </c>
      <c r="H28" s="17">
        <f t="shared" si="1"/>
        <v>80.645272</v>
      </c>
      <c r="I28" s="35" t="s">
        <v>186</v>
      </c>
    </row>
    <row r="29" s="6" customFormat="1" ht="24" customHeight="1" spans="1:9">
      <c r="A29" s="53" t="s">
        <v>187</v>
      </c>
      <c r="B29" s="17">
        <v>195.189108</v>
      </c>
      <c r="C29" s="17">
        <f t="shared" si="0"/>
        <v>45.2506</v>
      </c>
      <c r="D29" s="17">
        <f>VLOOKUP(A29,'6.经费拨款'!$A$7:$C$144,3,0)</f>
        <v>40.2506</v>
      </c>
      <c r="E29" s="17">
        <v>5</v>
      </c>
      <c r="F29" s="17"/>
      <c r="G29" s="17">
        <v>0</v>
      </c>
      <c r="H29" s="17">
        <f t="shared" si="1"/>
        <v>240.439708</v>
      </c>
      <c r="I29" s="33"/>
    </row>
    <row r="30" s="6" customFormat="1" ht="24" customHeight="1" spans="1:9">
      <c r="A30" s="53" t="s">
        <v>188</v>
      </c>
      <c r="B30" s="17">
        <v>121.260707</v>
      </c>
      <c r="C30" s="17">
        <f t="shared" si="0"/>
        <v>6.8796</v>
      </c>
      <c r="D30" s="17">
        <f>VLOOKUP(A30,'6.经费拨款'!$A$7:$C$144,3,0)</f>
        <v>6.8796</v>
      </c>
      <c r="E30" s="17"/>
      <c r="F30" s="17"/>
      <c r="G30" s="17">
        <v>0</v>
      </c>
      <c r="H30" s="17">
        <f t="shared" si="1"/>
        <v>128.140307</v>
      </c>
      <c r="I30" s="33"/>
    </row>
    <row r="31" s="6" customFormat="1" ht="24" customHeight="1" spans="1:9">
      <c r="A31" s="53" t="s">
        <v>81</v>
      </c>
      <c r="B31" s="17">
        <v>559.897135</v>
      </c>
      <c r="C31" s="17">
        <f t="shared" si="0"/>
        <v>95.383475</v>
      </c>
      <c r="D31" s="17">
        <f>VLOOKUP(A31,'6.经费拨款'!$A$7:$C$144,3,0)</f>
        <v>95.383475</v>
      </c>
      <c r="E31" s="17"/>
      <c r="F31" s="17"/>
      <c r="G31" s="17">
        <v>358</v>
      </c>
      <c r="H31" s="17">
        <f t="shared" si="1"/>
        <v>1013.28061</v>
      </c>
      <c r="I31" s="33"/>
    </row>
    <row r="32" s="6" customFormat="1" ht="24" customHeight="1" spans="1:9">
      <c r="A32" s="53" t="s">
        <v>189</v>
      </c>
      <c r="B32" s="17">
        <v>117.553626</v>
      </c>
      <c r="C32" s="17">
        <f t="shared" si="0"/>
        <v>8.2162</v>
      </c>
      <c r="D32" s="17">
        <f>VLOOKUP(A32,'6.经费拨款'!$A$7:$C$144,3,0)</f>
        <v>8.2162</v>
      </c>
      <c r="E32" s="17"/>
      <c r="F32" s="17"/>
      <c r="G32" s="17">
        <v>12</v>
      </c>
      <c r="H32" s="17">
        <f t="shared" si="1"/>
        <v>137.769826</v>
      </c>
      <c r="I32" s="33"/>
    </row>
    <row r="33" s="6" customFormat="1" ht="24" customHeight="1" spans="1:9">
      <c r="A33" s="53" t="s">
        <v>190</v>
      </c>
      <c r="B33" s="17">
        <v>60.38643</v>
      </c>
      <c r="C33" s="17">
        <f t="shared" si="0"/>
        <v>28.7393</v>
      </c>
      <c r="D33" s="17">
        <f>VLOOKUP(A33,'6.经费拨款'!$A$7:$C$144,3,0)</f>
        <v>28.7393</v>
      </c>
      <c r="E33" s="17"/>
      <c r="F33" s="17"/>
      <c r="G33" s="17">
        <v>32</v>
      </c>
      <c r="H33" s="17">
        <f t="shared" si="1"/>
        <v>121.12573</v>
      </c>
      <c r="I33" s="33"/>
    </row>
    <row r="34" s="6" customFormat="1" ht="24" customHeight="1" spans="1:9">
      <c r="A34" s="53" t="s">
        <v>191</v>
      </c>
      <c r="B34" s="17">
        <v>246.361709</v>
      </c>
      <c r="C34" s="17">
        <f t="shared" si="0"/>
        <v>5.55</v>
      </c>
      <c r="D34" s="17">
        <f>VLOOKUP(A34,'6.经费拨款'!$A$7:$C$144,3,0)</f>
        <v>5.55</v>
      </c>
      <c r="E34" s="17"/>
      <c r="F34" s="17"/>
      <c r="G34" s="17">
        <v>0</v>
      </c>
      <c r="H34" s="17">
        <f t="shared" si="1"/>
        <v>251.911709</v>
      </c>
      <c r="I34" s="33"/>
    </row>
    <row r="35" s="6" customFormat="1" ht="24" customHeight="1" spans="1:9">
      <c r="A35" s="53" t="s">
        <v>64</v>
      </c>
      <c r="B35" s="17">
        <v>4922.397861</v>
      </c>
      <c r="C35" s="17">
        <f t="shared" si="0"/>
        <v>742.17</v>
      </c>
      <c r="D35" s="17">
        <f>VLOOKUP(A35,'6.经费拨款'!$A$7:$C$144,3,0)</f>
        <v>548.17</v>
      </c>
      <c r="E35" s="17">
        <v>94</v>
      </c>
      <c r="F35" s="17">
        <v>100</v>
      </c>
      <c r="G35" s="17">
        <v>6301</v>
      </c>
      <c r="H35" s="17">
        <f t="shared" si="1"/>
        <v>11965.567861</v>
      </c>
      <c r="I35" s="33" t="s">
        <v>192</v>
      </c>
    </row>
    <row r="36" s="6" customFormat="1" ht="24" customHeight="1" spans="1:9">
      <c r="A36" s="53" t="s">
        <v>193</v>
      </c>
      <c r="B36" s="17">
        <v>1066.620482</v>
      </c>
      <c r="C36" s="17">
        <f t="shared" si="0"/>
        <v>0</v>
      </c>
      <c r="D36" s="17">
        <f>VLOOKUP(A36,'6.经费拨款'!$A$7:$C$144,3,0)</f>
        <v>0</v>
      </c>
      <c r="E36" s="17"/>
      <c r="F36" s="17"/>
      <c r="G36" s="17">
        <v>0</v>
      </c>
      <c r="H36" s="17">
        <f t="shared" si="1"/>
        <v>1066.620482</v>
      </c>
      <c r="I36" s="33"/>
    </row>
    <row r="37" s="6" customFormat="1" ht="24" customHeight="1" spans="1:9">
      <c r="A37" s="53" t="s">
        <v>194</v>
      </c>
      <c r="B37" s="17">
        <v>93.532752</v>
      </c>
      <c r="C37" s="17">
        <f t="shared" si="0"/>
        <v>0</v>
      </c>
      <c r="D37" s="17">
        <f>VLOOKUP(A37,'6.经费拨款'!$A$7:$C$144,3,0)</f>
        <v>0</v>
      </c>
      <c r="E37" s="17"/>
      <c r="F37" s="17"/>
      <c r="G37" s="17">
        <v>0</v>
      </c>
      <c r="H37" s="17">
        <f t="shared" si="1"/>
        <v>93.532752</v>
      </c>
      <c r="I37" s="33"/>
    </row>
    <row r="38" s="6" customFormat="1" ht="24" customHeight="1" spans="1:9">
      <c r="A38" s="53" t="s">
        <v>195</v>
      </c>
      <c r="B38" s="17">
        <v>958.722221</v>
      </c>
      <c r="C38" s="17">
        <f t="shared" si="0"/>
        <v>0</v>
      </c>
      <c r="D38" s="17">
        <f>VLOOKUP(A38,'6.经费拨款'!$A$7:$C$144,3,0)</f>
        <v>0</v>
      </c>
      <c r="E38" s="17"/>
      <c r="F38" s="17"/>
      <c r="G38" s="17">
        <v>0</v>
      </c>
      <c r="H38" s="17">
        <f t="shared" si="1"/>
        <v>958.722221</v>
      </c>
      <c r="I38" s="33"/>
    </row>
    <row r="39" s="6" customFormat="1" ht="24" customHeight="1" spans="1:9">
      <c r="A39" s="53" t="s">
        <v>196</v>
      </c>
      <c r="B39" s="17">
        <v>1062.786566</v>
      </c>
      <c r="C39" s="17">
        <f t="shared" ref="C39:C70" si="2">D39+E39+F39</f>
        <v>0</v>
      </c>
      <c r="D39" s="17">
        <f>VLOOKUP(A39,'6.经费拨款'!$A$7:$C$144,3,0)</f>
        <v>0</v>
      </c>
      <c r="E39" s="17"/>
      <c r="F39" s="17"/>
      <c r="G39" s="17">
        <v>0</v>
      </c>
      <c r="H39" s="17">
        <f t="shared" ref="H39:H70" si="3">B39+C39+G39</f>
        <v>1062.786566</v>
      </c>
      <c r="I39" s="33"/>
    </row>
    <row r="40" s="6" customFormat="1" ht="24" customHeight="1" spans="1:9">
      <c r="A40" s="53" t="s">
        <v>197</v>
      </c>
      <c r="B40" s="17">
        <v>951.411272</v>
      </c>
      <c r="C40" s="17">
        <f t="shared" si="2"/>
        <v>0</v>
      </c>
      <c r="D40" s="17">
        <f>VLOOKUP(A40,'6.经费拨款'!$A$7:$C$144,3,0)</f>
        <v>0</v>
      </c>
      <c r="E40" s="17"/>
      <c r="F40" s="17"/>
      <c r="G40" s="17">
        <v>0</v>
      </c>
      <c r="H40" s="17">
        <f t="shared" si="3"/>
        <v>951.411272</v>
      </c>
      <c r="I40" s="33"/>
    </row>
    <row r="41" s="6" customFormat="1" ht="24" customHeight="1" spans="1:9">
      <c r="A41" s="53" t="s">
        <v>198</v>
      </c>
      <c r="B41" s="17">
        <v>1530.626098</v>
      </c>
      <c r="C41" s="17">
        <f t="shared" si="2"/>
        <v>0</v>
      </c>
      <c r="D41" s="17">
        <f>VLOOKUP(A41,'6.经费拨款'!$A$7:$C$144,3,0)</f>
        <v>0</v>
      </c>
      <c r="E41" s="17"/>
      <c r="F41" s="17"/>
      <c r="G41" s="17">
        <v>0</v>
      </c>
      <c r="H41" s="17">
        <f t="shared" si="3"/>
        <v>1530.626098</v>
      </c>
      <c r="I41" s="33"/>
    </row>
    <row r="42" s="6" customFormat="1" ht="24" customHeight="1" spans="1:9">
      <c r="A42" s="53" t="s">
        <v>199</v>
      </c>
      <c r="B42" s="17">
        <v>435.792583</v>
      </c>
      <c r="C42" s="17">
        <f t="shared" si="2"/>
        <v>0</v>
      </c>
      <c r="D42" s="17">
        <f>VLOOKUP(A42,'6.经费拨款'!$A$7:$C$144,3,0)</f>
        <v>0</v>
      </c>
      <c r="E42" s="17"/>
      <c r="F42" s="17"/>
      <c r="G42" s="17">
        <v>0</v>
      </c>
      <c r="H42" s="17">
        <f t="shared" si="3"/>
        <v>435.792583</v>
      </c>
      <c r="I42" s="33"/>
    </row>
    <row r="43" s="6" customFormat="1" ht="24" customHeight="1" spans="1:9">
      <c r="A43" s="53" t="s">
        <v>200</v>
      </c>
      <c r="B43" s="17">
        <v>2517.059267</v>
      </c>
      <c r="C43" s="17">
        <f t="shared" si="2"/>
        <v>0</v>
      </c>
      <c r="D43" s="17">
        <f>VLOOKUP(A43,'6.经费拨款'!$A$7:$C$144,3,0)</f>
        <v>0</v>
      </c>
      <c r="E43" s="17"/>
      <c r="F43" s="17"/>
      <c r="G43" s="17">
        <v>0</v>
      </c>
      <c r="H43" s="17">
        <f t="shared" si="3"/>
        <v>2517.059267</v>
      </c>
      <c r="I43" s="33"/>
    </row>
    <row r="44" s="6" customFormat="1" ht="24" customHeight="1" spans="1:9">
      <c r="A44" s="53" t="s">
        <v>201</v>
      </c>
      <c r="B44" s="17">
        <v>903.164214</v>
      </c>
      <c r="C44" s="17">
        <f t="shared" si="2"/>
        <v>0</v>
      </c>
      <c r="D44" s="17">
        <f>VLOOKUP(A44,'6.经费拨款'!$A$7:$C$144,3,0)</f>
        <v>0</v>
      </c>
      <c r="E44" s="17"/>
      <c r="F44" s="17"/>
      <c r="G44" s="17">
        <v>0</v>
      </c>
      <c r="H44" s="17">
        <f t="shared" si="3"/>
        <v>903.164214</v>
      </c>
      <c r="I44" s="33"/>
    </row>
    <row r="45" s="6" customFormat="1" ht="24" customHeight="1" spans="1:9">
      <c r="A45" s="53" t="s">
        <v>202</v>
      </c>
      <c r="B45" s="17">
        <v>1038.389873</v>
      </c>
      <c r="C45" s="17">
        <f t="shared" si="2"/>
        <v>0</v>
      </c>
      <c r="D45" s="17">
        <f>VLOOKUP(A45,'6.经费拨款'!$A$7:$C$144,3,0)</f>
        <v>0</v>
      </c>
      <c r="E45" s="17"/>
      <c r="F45" s="17"/>
      <c r="G45" s="17">
        <v>0</v>
      </c>
      <c r="H45" s="17">
        <f t="shared" si="3"/>
        <v>1038.389873</v>
      </c>
      <c r="I45" s="33"/>
    </row>
    <row r="46" s="6" customFormat="1" ht="24" customHeight="1" spans="1:9">
      <c r="A46" s="53" t="s">
        <v>203</v>
      </c>
      <c r="B46" s="17">
        <v>1799.541016</v>
      </c>
      <c r="C46" s="17">
        <f t="shared" si="2"/>
        <v>0</v>
      </c>
      <c r="D46" s="17">
        <f>VLOOKUP(A46,'6.经费拨款'!$A$7:$C$144,3,0)</f>
        <v>0</v>
      </c>
      <c r="E46" s="17"/>
      <c r="F46" s="17"/>
      <c r="G46" s="17">
        <v>0</v>
      </c>
      <c r="H46" s="17">
        <f t="shared" si="3"/>
        <v>1799.541016</v>
      </c>
      <c r="I46" s="33"/>
    </row>
    <row r="47" s="6" customFormat="1" ht="24" customHeight="1" spans="1:9">
      <c r="A47" s="53" t="s">
        <v>204</v>
      </c>
      <c r="B47" s="17">
        <v>1267.468291</v>
      </c>
      <c r="C47" s="17">
        <f t="shared" si="2"/>
        <v>0</v>
      </c>
      <c r="D47" s="17">
        <f>VLOOKUP(A47,'6.经费拨款'!$A$7:$C$144,3,0)</f>
        <v>0</v>
      </c>
      <c r="E47" s="17"/>
      <c r="F47" s="17"/>
      <c r="G47" s="17">
        <v>0</v>
      </c>
      <c r="H47" s="17">
        <f t="shared" si="3"/>
        <v>1267.468291</v>
      </c>
      <c r="I47" s="33"/>
    </row>
    <row r="48" s="6" customFormat="1" ht="24" customHeight="1" spans="1:9">
      <c r="A48" s="53" t="s">
        <v>205</v>
      </c>
      <c r="B48" s="17">
        <v>900.71512</v>
      </c>
      <c r="C48" s="17">
        <f t="shared" si="2"/>
        <v>0</v>
      </c>
      <c r="D48" s="17">
        <f>VLOOKUP(A48,'6.经费拨款'!$A$7:$C$144,3,0)</f>
        <v>0</v>
      </c>
      <c r="E48" s="17"/>
      <c r="F48" s="17"/>
      <c r="G48" s="17">
        <v>0</v>
      </c>
      <c r="H48" s="17">
        <f t="shared" si="3"/>
        <v>900.71512</v>
      </c>
      <c r="I48" s="35"/>
    </row>
    <row r="49" s="6" customFormat="1" ht="24" customHeight="1" spans="1:9">
      <c r="A49" s="53" t="s">
        <v>206</v>
      </c>
      <c r="B49" s="17">
        <v>1162.354384</v>
      </c>
      <c r="C49" s="17">
        <f t="shared" si="2"/>
        <v>0</v>
      </c>
      <c r="D49" s="17">
        <f>VLOOKUP(A49,'6.经费拨款'!$A$7:$C$144,3,0)</f>
        <v>0</v>
      </c>
      <c r="E49" s="17"/>
      <c r="F49" s="17"/>
      <c r="G49" s="17">
        <v>0</v>
      </c>
      <c r="H49" s="17">
        <f t="shared" si="3"/>
        <v>1162.354384</v>
      </c>
      <c r="I49" s="33"/>
    </row>
    <row r="50" s="6" customFormat="1" ht="24" customHeight="1" spans="1:9">
      <c r="A50" s="53" t="s">
        <v>207</v>
      </c>
      <c r="B50" s="17">
        <v>973.826145</v>
      </c>
      <c r="C50" s="17">
        <f t="shared" si="2"/>
        <v>0</v>
      </c>
      <c r="D50" s="17">
        <f>VLOOKUP(A50,'6.经费拨款'!$A$7:$C$144,3,0)</f>
        <v>0</v>
      </c>
      <c r="E50" s="17"/>
      <c r="F50" s="17"/>
      <c r="G50" s="17">
        <v>0</v>
      </c>
      <c r="H50" s="17">
        <f t="shared" si="3"/>
        <v>973.826145</v>
      </c>
      <c r="I50" s="35"/>
    </row>
    <row r="51" s="6" customFormat="1" ht="24" customHeight="1" spans="1:9">
      <c r="A51" s="53" t="s">
        <v>208</v>
      </c>
      <c r="B51" s="17">
        <v>1874.532064</v>
      </c>
      <c r="C51" s="17">
        <f t="shared" si="2"/>
        <v>0</v>
      </c>
      <c r="D51" s="17">
        <f>VLOOKUP(A51,'6.经费拨款'!$A$7:$C$144,3,0)</f>
        <v>0</v>
      </c>
      <c r="E51" s="17"/>
      <c r="F51" s="17"/>
      <c r="G51" s="17">
        <v>0</v>
      </c>
      <c r="H51" s="17">
        <f t="shared" si="3"/>
        <v>1874.532064</v>
      </c>
      <c r="I51" s="33"/>
    </row>
    <row r="52" s="6" customFormat="1" ht="24" customHeight="1" spans="1:9">
      <c r="A52" s="53" t="s">
        <v>209</v>
      </c>
      <c r="B52" s="17">
        <v>2142.208066</v>
      </c>
      <c r="C52" s="17">
        <f t="shared" si="2"/>
        <v>0</v>
      </c>
      <c r="D52" s="17">
        <f>VLOOKUP(A52,'6.经费拨款'!$A$7:$C$144,3,0)</f>
        <v>0</v>
      </c>
      <c r="E52" s="17"/>
      <c r="F52" s="17"/>
      <c r="G52" s="17">
        <v>0</v>
      </c>
      <c r="H52" s="17">
        <f t="shared" si="3"/>
        <v>2142.208066</v>
      </c>
      <c r="I52" s="33"/>
    </row>
    <row r="53" s="6" customFormat="1" ht="24" customHeight="1" spans="1:9">
      <c r="A53" s="53" t="s">
        <v>210</v>
      </c>
      <c r="B53" s="17">
        <v>1235.428083</v>
      </c>
      <c r="C53" s="17">
        <f t="shared" si="2"/>
        <v>0</v>
      </c>
      <c r="D53" s="17">
        <f>VLOOKUP(A53,'6.经费拨款'!$A$7:$C$144,3,0)</f>
        <v>0</v>
      </c>
      <c r="E53" s="17"/>
      <c r="F53" s="17"/>
      <c r="G53" s="17">
        <v>0</v>
      </c>
      <c r="H53" s="17">
        <f t="shared" si="3"/>
        <v>1235.428083</v>
      </c>
      <c r="I53" s="33"/>
    </row>
    <row r="54" s="6" customFormat="1" ht="24" customHeight="1" spans="1:9">
      <c r="A54" s="53" t="s">
        <v>211</v>
      </c>
      <c r="B54" s="17">
        <v>2006.748046</v>
      </c>
      <c r="C54" s="17">
        <f t="shared" si="2"/>
        <v>0</v>
      </c>
      <c r="D54" s="17">
        <f>VLOOKUP(A54,'6.经费拨款'!$A$7:$C$144,3,0)</f>
        <v>0</v>
      </c>
      <c r="E54" s="17"/>
      <c r="F54" s="17"/>
      <c r="G54" s="17">
        <v>0</v>
      </c>
      <c r="H54" s="17">
        <f t="shared" si="3"/>
        <v>2006.748046</v>
      </c>
      <c r="I54" s="33"/>
    </row>
    <row r="55" s="6" customFormat="1" ht="24" customHeight="1" spans="1:9">
      <c r="A55" s="53" t="s">
        <v>212</v>
      </c>
      <c r="B55" s="17">
        <v>1043.353228</v>
      </c>
      <c r="C55" s="17">
        <f t="shared" si="2"/>
        <v>0</v>
      </c>
      <c r="D55" s="17">
        <f>VLOOKUP(A55,'6.经费拨款'!$A$7:$C$144,3,0)</f>
        <v>0</v>
      </c>
      <c r="E55" s="17"/>
      <c r="F55" s="17"/>
      <c r="G55" s="17">
        <v>0</v>
      </c>
      <c r="H55" s="17">
        <f t="shared" si="3"/>
        <v>1043.353228</v>
      </c>
      <c r="I55" s="33"/>
    </row>
    <row r="56" s="6" customFormat="1" ht="24" customHeight="1" spans="1:9">
      <c r="A56" s="53" t="s">
        <v>213</v>
      </c>
      <c r="B56" s="17">
        <v>959.414041</v>
      </c>
      <c r="C56" s="17">
        <f t="shared" si="2"/>
        <v>0</v>
      </c>
      <c r="D56" s="17">
        <f>VLOOKUP(A56,'6.经费拨款'!$A$7:$C$144,3,0)</f>
        <v>0</v>
      </c>
      <c r="E56" s="17"/>
      <c r="F56" s="17"/>
      <c r="G56" s="17">
        <v>0</v>
      </c>
      <c r="H56" s="17">
        <f t="shared" si="3"/>
        <v>959.414041</v>
      </c>
      <c r="I56" s="33"/>
    </row>
    <row r="57" s="6" customFormat="1" ht="24" customHeight="1" spans="1:9">
      <c r="A57" s="53" t="s">
        <v>214</v>
      </c>
      <c r="B57" s="17">
        <v>222.871436</v>
      </c>
      <c r="C57" s="17">
        <f t="shared" si="2"/>
        <v>0</v>
      </c>
      <c r="D57" s="17">
        <f>VLOOKUP(A57,'6.经费拨款'!$A$7:$C$144,3,0)</f>
        <v>0</v>
      </c>
      <c r="E57" s="17"/>
      <c r="F57" s="17"/>
      <c r="G57" s="17">
        <v>0</v>
      </c>
      <c r="H57" s="17">
        <f t="shared" si="3"/>
        <v>222.871436</v>
      </c>
      <c r="I57" s="33"/>
    </row>
    <row r="58" s="6" customFormat="1" ht="24" customHeight="1" spans="1:9">
      <c r="A58" s="53" t="s">
        <v>215</v>
      </c>
      <c r="B58" s="17">
        <v>138.777924</v>
      </c>
      <c r="C58" s="17">
        <f t="shared" si="2"/>
        <v>0</v>
      </c>
      <c r="D58" s="17">
        <f>VLOOKUP(A58,'6.经费拨款'!$A$7:$C$144,3,0)</f>
        <v>0</v>
      </c>
      <c r="E58" s="17"/>
      <c r="F58" s="17"/>
      <c r="G58" s="17">
        <v>0</v>
      </c>
      <c r="H58" s="17">
        <f t="shared" si="3"/>
        <v>138.777924</v>
      </c>
      <c r="I58" s="33"/>
    </row>
    <row r="59" s="6" customFormat="1" ht="24" customHeight="1" spans="1:9">
      <c r="A59" s="53" t="s">
        <v>216</v>
      </c>
      <c r="B59" s="17">
        <v>1115.338069</v>
      </c>
      <c r="C59" s="17">
        <f t="shared" si="2"/>
        <v>0</v>
      </c>
      <c r="D59" s="17">
        <f>VLOOKUP(A59,'6.经费拨款'!$A$7:$C$144,3,0)</f>
        <v>0</v>
      </c>
      <c r="E59" s="17"/>
      <c r="F59" s="17"/>
      <c r="G59" s="17">
        <v>0</v>
      </c>
      <c r="H59" s="17">
        <f t="shared" si="3"/>
        <v>1115.338069</v>
      </c>
      <c r="I59" s="33"/>
    </row>
    <row r="60" s="6" customFormat="1" ht="24" customHeight="1" spans="1:9">
      <c r="A60" s="53" t="s">
        <v>217</v>
      </c>
      <c r="B60" s="17">
        <v>193.102801</v>
      </c>
      <c r="C60" s="17">
        <f t="shared" si="2"/>
        <v>0</v>
      </c>
      <c r="D60" s="17">
        <f>VLOOKUP(A60,'6.经费拨款'!$A$7:$C$144,3,0)</f>
        <v>0</v>
      </c>
      <c r="E60" s="17"/>
      <c r="F60" s="17"/>
      <c r="G60" s="17">
        <v>0</v>
      </c>
      <c r="H60" s="17">
        <f t="shared" si="3"/>
        <v>193.102801</v>
      </c>
      <c r="I60" s="33"/>
    </row>
    <row r="61" s="6" customFormat="1" ht="24" customHeight="1" spans="1:9">
      <c r="A61" s="53" t="s">
        <v>218</v>
      </c>
      <c r="B61" s="17">
        <v>24.593398</v>
      </c>
      <c r="C61" s="17">
        <f t="shared" si="2"/>
        <v>0</v>
      </c>
      <c r="D61" s="17">
        <f>VLOOKUP(A61,'6.经费拨款'!$A$7:$C$144,3,0)</f>
        <v>0</v>
      </c>
      <c r="E61" s="17"/>
      <c r="F61" s="17"/>
      <c r="G61" s="17">
        <v>0</v>
      </c>
      <c r="H61" s="17">
        <f t="shared" si="3"/>
        <v>24.593398</v>
      </c>
      <c r="I61" s="33"/>
    </row>
    <row r="62" s="6" customFormat="1" ht="24" customHeight="1" spans="1:9">
      <c r="A62" s="53" t="s">
        <v>219</v>
      </c>
      <c r="B62" s="17">
        <v>143.090547</v>
      </c>
      <c r="C62" s="17">
        <f t="shared" si="2"/>
        <v>26.9522</v>
      </c>
      <c r="D62" s="17">
        <f>VLOOKUP(A62,'6.经费拨款'!$A$7:$C$144,3,0)</f>
        <v>26.9522</v>
      </c>
      <c r="E62" s="17"/>
      <c r="F62" s="17"/>
      <c r="G62" s="17">
        <v>0</v>
      </c>
      <c r="H62" s="17">
        <f t="shared" si="3"/>
        <v>170.042747</v>
      </c>
      <c r="I62" s="33"/>
    </row>
    <row r="63" s="6" customFormat="1" ht="24" customHeight="1" spans="1:9">
      <c r="A63" s="53" t="s">
        <v>220</v>
      </c>
      <c r="B63" s="17">
        <v>52.545605</v>
      </c>
      <c r="C63" s="17">
        <f t="shared" si="2"/>
        <v>5.1128</v>
      </c>
      <c r="D63" s="17">
        <f>VLOOKUP(A63,'6.经费拨款'!$A$7:$C$144,3,0)</f>
        <v>5.1128</v>
      </c>
      <c r="E63" s="17"/>
      <c r="F63" s="17"/>
      <c r="G63" s="17">
        <v>0</v>
      </c>
      <c r="H63" s="17">
        <f t="shared" si="3"/>
        <v>57.658405</v>
      </c>
      <c r="I63" s="33"/>
    </row>
    <row r="64" s="6" customFormat="1" ht="24" customHeight="1" spans="1:9">
      <c r="A64" s="53" t="s">
        <v>221</v>
      </c>
      <c r="B64" s="17">
        <v>494.502868</v>
      </c>
      <c r="C64" s="17">
        <f t="shared" si="2"/>
        <v>176.3647</v>
      </c>
      <c r="D64" s="17">
        <f>VLOOKUP(A64,'6.经费拨款'!$A$7:$C$144,3,0)</f>
        <v>176.3647</v>
      </c>
      <c r="E64" s="17"/>
      <c r="F64" s="17"/>
      <c r="G64" s="17">
        <v>209</v>
      </c>
      <c r="H64" s="17">
        <f t="shared" si="3"/>
        <v>879.867568</v>
      </c>
      <c r="I64" s="33"/>
    </row>
    <row r="65" s="6" customFormat="1" ht="24" customHeight="1" spans="1:9">
      <c r="A65" s="53" t="s">
        <v>222</v>
      </c>
      <c r="B65" s="17">
        <v>120.820416</v>
      </c>
      <c r="C65" s="17">
        <f t="shared" si="2"/>
        <v>13.65</v>
      </c>
      <c r="D65" s="17">
        <f>VLOOKUP(A65,'6.经费拨款'!$A$7:$C$144,3,0)</f>
        <v>13.65</v>
      </c>
      <c r="E65" s="17"/>
      <c r="F65" s="17"/>
      <c r="G65" s="17">
        <v>141</v>
      </c>
      <c r="H65" s="17">
        <f t="shared" si="3"/>
        <v>275.470416</v>
      </c>
      <c r="I65" s="33"/>
    </row>
    <row r="66" s="6" customFormat="1" ht="24" customHeight="1" spans="1:9">
      <c r="A66" s="53" t="s">
        <v>223</v>
      </c>
      <c r="B66" s="17">
        <v>266.270427</v>
      </c>
      <c r="C66" s="17">
        <f t="shared" si="2"/>
        <v>12.08</v>
      </c>
      <c r="D66" s="17">
        <f>VLOOKUP(A66,'6.经费拨款'!$A$7:$C$144,3,0)</f>
        <v>12.08</v>
      </c>
      <c r="E66" s="17"/>
      <c r="F66" s="17"/>
      <c r="G66" s="17">
        <v>3</v>
      </c>
      <c r="H66" s="17">
        <f t="shared" si="3"/>
        <v>281.350427</v>
      </c>
      <c r="I66" s="33" t="s">
        <v>224</v>
      </c>
    </row>
    <row r="67" s="6" customFormat="1" ht="24" customHeight="1" spans="1:9">
      <c r="A67" s="53" t="s">
        <v>225</v>
      </c>
      <c r="B67" s="17">
        <v>243.516083</v>
      </c>
      <c r="C67" s="17">
        <f t="shared" si="2"/>
        <v>39.2454</v>
      </c>
      <c r="D67" s="17">
        <f>VLOOKUP(A67,'6.经费拨款'!$A$7:$C$144,3,0)</f>
        <v>39.2454</v>
      </c>
      <c r="E67" s="17"/>
      <c r="F67" s="17"/>
      <c r="G67" s="17">
        <v>32</v>
      </c>
      <c r="H67" s="17">
        <f t="shared" si="3"/>
        <v>314.761483</v>
      </c>
      <c r="I67" s="33"/>
    </row>
    <row r="68" s="6" customFormat="1" ht="24" customHeight="1" spans="1:9">
      <c r="A68" s="53" t="s">
        <v>226</v>
      </c>
      <c r="B68" s="17">
        <v>201.31274</v>
      </c>
      <c r="C68" s="17">
        <f t="shared" si="2"/>
        <v>7.35</v>
      </c>
      <c r="D68" s="17">
        <f>VLOOKUP(A68,'6.经费拨款'!$A$7:$C$144,3,0)</f>
        <v>7.35</v>
      </c>
      <c r="E68" s="17"/>
      <c r="F68" s="17"/>
      <c r="G68" s="17">
        <v>0</v>
      </c>
      <c r="H68" s="17">
        <f t="shared" si="3"/>
        <v>208.66274</v>
      </c>
      <c r="I68" s="33"/>
    </row>
    <row r="69" s="6" customFormat="1" ht="24" customHeight="1" spans="1:9">
      <c r="A69" s="53" t="s">
        <v>227</v>
      </c>
      <c r="B69" s="17">
        <v>2473.198865</v>
      </c>
      <c r="C69" s="17">
        <f t="shared" si="2"/>
        <v>333.4953</v>
      </c>
      <c r="D69" s="17">
        <f>VLOOKUP(A69,'6.经费拨款'!$A$7:$C$144,3,0)</f>
        <v>303.4953</v>
      </c>
      <c r="E69" s="17">
        <v>30</v>
      </c>
      <c r="F69" s="17"/>
      <c r="G69" s="17">
        <v>8057</v>
      </c>
      <c r="H69" s="17">
        <f t="shared" si="3"/>
        <v>10863.694165</v>
      </c>
      <c r="I69" s="33" t="s">
        <v>228</v>
      </c>
    </row>
    <row r="70" s="6" customFormat="1" ht="24" customHeight="1" spans="1:9">
      <c r="A70" s="53" t="s">
        <v>229</v>
      </c>
      <c r="B70" s="17">
        <v>108</v>
      </c>
      <c r="C70" s="17">
        <f t="shared" si="2"/>
        <v>2.7</v>
      </c>
      <c r="D70" s="17">
        <f>VLOOKUP(A70,'6.经费拨款'!$A$7:$C$144,3,0)</f>
        <v>2.7</v>
      </c>
      <c r="E70" s="17"/>
      <c r="F70" s="17"/>
      <c r="G70" s="17">
        <v>0</v>
      </c>
      <c r="H70" s="17">
        <f t="shared" si="3"/>
        <v>110.7</v>
      </c>
      <c r="I70" s="33"/>
    </row>
    <row r="71" s="6" customFormat="1" ht="24" customHeight="1" spans="1:9">
      <c r="A71" s="53" t="s">
        <v>230</v>
      </c>
      <c r="B71" s="17">
        <v>80.872751</v>
      </c>
      <c r="C71" s="17">
        <f t="shared" ref="C71:C102" si="4">D71+E71+F71</f>
        <v>3.95</v>
      </c>
      <c r="D71" s="17">
        <f>VLOOKUP(A71,'6.经费拨款'!$A$7:$C$144,3,0)</f>
        <v>3.95</v>
      </c>
      <c r="E71" s="17"/>
      <c r="F71" s="17"/>
      <c r="G71" s="17">
        <v>0</v>
      </c>
      <c r="H71" s="17">
        <f t="shared" ref="H71:H102" si="5">B71+C71+G71</f>
        <v>84.822751</v>
      </c>
      <c r="I71" s="33"/>
    </row>
    <row r="72" s="6" customFormat="1" ht="24" customHeight="1" spans="1:9">
      <c r="A72" s="53" t="s">
        <v>231</v>
      </c>
      <c r="B72" s="17">
        <v>158.381135</v>
      </c>
      <c r="C72" s="17">
        <f t="shared" si="4"/>
        <v>9.853245</v>
      </c>
      <c r="D72" s="17">
        <f>VLOOKUP(A72,'6.经费拨款'!$A$7:$C$144,3,0)</f>
        <v>9.853245</v>
      </c>
      <c r="E72" s="17"/>
      <c r="F72" s="17"/>
      <c r="G72" s="17">
        <v>0</v>
      </c>
      <c r="H72" s="17">
        <f t="shared" si="5"/>
        <v>168.23438</v>
      </c>
      <c r="I72" s="33"/>
    </row>
    <row r="73" s="6" customFormat="1" ht="24" customHeight="1" spans="1:9">
      <c r="A73" s="53" t="s">
        <v>232</v>
      </c>
      <c r="B73" s="17">
        <v>443.795943</v>
      </c>
      <c r="C73" s="17">
        <f t="shared" si="4"/>
        <v>12.3571</v>
      </c>
      <c r="D73" s="17">
        <f>VLOOKUP(A73,'6.经费拨款'!$A$7:$C$144,3,0)</f>
        <v>12.3571</v>
      </c>
      <c r="E73" s="17"/>
      <c r="F73" s="17"/>
      <c r="G73" s="17">
        <v>234</v>
      </c>
      <c r="H73" s="17">
        <f t="shared" si="5"/>
        <v>690.153043</v>
      </c>
      <c r="I73" s="33"/>
    </row>
    <row r="74" s="6" customFormat="1" ht="48" customHeight="1" spans="1:9">
      <c r="A74" s="53" t="s">
        <v>62</v>
      </c>
      <c r="B74" s="17">
        <v>1649.516875</v>
      </c>
      <c r="C74" s="17">
        <f t="shared" si="4"/>
        <v>481.3755</v>
      </c>
      <c r="D74" s="17">
        <f>VLOOKUP(A74,'6.经费拨款'!$A$7:$C$144,3,0)</f>
        <v>69.3755</v>
      </c>
      <c r="E74" s="17">
        <v>112</v>
      </c>
      <c r="F74" s="17">
        <v>300</v>
      </c>
      <c r="G74" s="17">
        <v>4420</v>
      </c>
      <c r="H74" s="17">
        <f t="shared" si="5"/>
        <v>6550.892375</v>
      </c>
      <c r="I74" s="33" t="s">
        <v>233</v>
      </c>
    </row>
    <row r="75" s="6" customFormat="1" ht="24" customHeight="1" spans="1:9">
      <c r="A75" s="53" t="s">
        <v>234</v>
      </c>
      <c r="B75" s="17">
        <v>242.029181</v>
      </c>
      <c r="C75" s="17">
        <f t="shared" si="4"/>
        <v>7.8</v>
      </c>
      <c r="D75" s="17">
        <f>VLOOKUP(A75,'6.经费拨款'!$A$7:$C$144,3,0)</f>
        <v>7.8</v>
      </c>
      <c r="E75" s="17"/>
      <c r="F75" s="17"/>
      <c r="G75" s="17">
        <v>35</v>
      </c>
      <c r="H75" s="17">
        <f t="shared" si="5"/>
        <v>284.829181</v>
      </c>
      <c r="I75" s="33"/>
    </row>
    <row r="76" s="6" customFormat="1" ht="24" customHeight="1" spans="1:9">
      <c r="A76" s="53" t="s">
        <v>235</v>
      </c>
      <c r="B76" s="17">
        <v>532.03</v>
      </c>
      <c r="C76" s="17">
        <f t="shared" si="4"/>
        <v>0</v>
      </c>
      <c r="D76" s="17">
        <f>VLOOKUP(A76,'6.经费拨款'!$A$7:$C$144,3,0)</f>
        <v>0</v>
      </c>
      <c r="E76" s="17"/>
      <c r="F76" s="17"/>
      <c r="G76" s="17">
        <v>0</v>
      </c>
      <c r="H76" s="17">
        <f t="shared" si="5"/>
        <v>532.03</v>
      </c>
      <c r="I76" s="33"/>
    </row>
    <row r="77" s="6" customFormat="1" ht="24" customHeight="1" spans="1:9">
      <c r="A77" s="53" t="s">
        <v>236</v>
      </c>
      <c r="B77" s="17">
        <v>659.139888</v>
      </c>
      <c r="C77" s="17">
        <f t="shared" si="4"/>
        <v>0</v>
      </c>
      <c r="D77" s="17">
        <f>VLOOKUP(A77,'6.经费拨款'!$A$7:$C$144,3,0)</f>
        <v>0</v>
      </c>
      <c r="E77" s="17"/>
      <c r="F77" s="17"/>
      <c r="G77" s="17">
        <v>0</v>
      </c>
      <c r="H77" s="17">
        <f t="shared" si="5"/>
        <v>659.139888</v>
      </c>
      <c r="I77" s="33"/>
    </row>
    <row r="78" s="6" customFormat="1" ht="24" customHeight="1" spans="1:9">
      <c r="A78" s="53" t="s">
        <v>237</v>
      </c>
      <c r="B78" s="17">
        <v>446.366694</v>
      </c>
      <c r="C78" s="17">
        <f t="shared" si="4"/>
        <v>0</v>
      </c>
      <c r="D78" s="17">
        <f>VLOOKUP(A78,'6.经费拨款'!$A$7:$C$144,3,0)</f>
        <v>0</v>
      </c>
      <c r="E78" s="17"/>
      <c r="F78" s="17"/>
      <c r="G78" s="17">
        <v>0</v>
      </c>
      <c r="H78" s="17">
        <f t="shared" si="5"/>
        <v>446.366694</v>
      </c>
      <c r="I78" s="33"/>
    </row>
    <row r="79" s="6" customFormat="1" ht="24" customHeight="1" spans="1:9">
      <c r="A79" s="53" t="s">
        <v>238</v>
      </c>
      <c r="B79" s="17">
        <v>223.417523</v>
      </c>
      <c r="C79" s="17">
        <f t="shared" si="4"/>
        <v>0</v>
      </c>
      <c r="D79" s="17">
        <f>VLOOKUP(A79,'6.经费拨款'!$A$7:$C$144,3,0)</f>
        <v>0</v>
      </c>
      <c r="E79" s="17"/>
      <c r="F79" s="17"/>
      <c r="G79" s="17">
        <v>0</v>
      </c>
      <c r="H79" s="17">
        <f t="shared" si="5"/>
        <v>223.417523</v>
      </c>
      <c r="I79" s="33"/>
    </row>
    <row r="80" s="6" customFormat="1" ht="24" customHeight="1" spans="1:9">
      <c r="A80" s="53" t="s">
        <v>239</v>
      </c>
      <c r="B80" s="17">
        <v>328.450388</v>
      </c>
      <c r="C80" s="17">
        <f t="shared" si="4"/>
        <v>0</v>
      </c>
      <c r="D80" s="17">
        <f>VLOOKUP(A80,'6.经费拨款'!$A$7:$C$144,3,0)</f>
        <v>0</v>
      </c>
      <c r="E80" s="17"/>
      <c r="F80" s="17"/>
      <c r="G80" s="17">
        <v>0</v>
      </c>
      <c r="H80" s="17">
        <f t="shared" si="5"/>
        <v>328.450388</v>
      </c>
      <c r="I80" s="33"/>
    </row>
    <row r="81" s="6" customFormat="1" ht="24" customHeight="1" spans="1:9">
      <c r="A81" s="53" t="s">
        <v>240</v>
      </c>
      <c r="B81" s="17">
        <v>592.73</v>
      </c>
      <c r="C81" s="17">
        <f t="shared" si="4"/>
        <v>0</v>
      </c>
      <c r="D81" s="17">
        <f>VLOOKUP(A81,'6.经费拨款'!$A$7:$C$144,3,0)</f>
        <v>0</v>
      </c>
      <c r="E81" s="17"/>
      <c r="F81" s="17"/>
      <c r="G81" s="17">
        <v>0</v>
      </c>
      <c r="H81" s="17">
        <f t="shared" si="5"/>
        <v>592.73</v>
      </c>
      <c r="I81" s="33"/>
    </row>
    <row r="82" s="6" customFormat="1" ht="24" customHeight="1" spans="1:9">
      <c r="A82" s="53" t="s">
        <v>241</v>
      </c>
      <c r="B82" s="17">
        <v>210.64</v>
      </c>
      <c r="C82" s="17">
        <f t="shared" si="4"/>
        <v>0</v>
      </c>
      <c r="D82" s="17">
        <f>VLOOKUP(A82,'6.经费拨款'!$A$7:$C$144,3,0)</f>
        <v>0</v>
      </c>
      <c r="E82" s="17"/>
      <c r="F82" s="17"/>
      <c r="G82" s="17">
        <v>0</v>
      </c>
      <c r="H82" s="17">
        <f t="shared" si="5"/>
        <v>210.64</v>
      </c>
      <c r="I82" s="33"/>
    </row>
    <row r="83" s="6" customFormat="1" ht="24" customHeight="1" spans="1:9">
      <c r="A83" s="53" t="s">
        <v>242</v>
      </c>
      <c r="B83" s="17">
        <v>6169.2</v>
      </c>
      <c r="C83" s="17">
        <f t="shared" si="4"/>
        <v>-136.74</v>
      </c>
      <c r="D83" s="17">
        <f>VLOOKUP(A83,'6.经费拨款'!$A$7:$C$144,3,0)</f>
        <v>-136.74</v>
      </c>
      <c r="E83" s="17"/>
      <c r="F83" s="17"/>
      <c r="G83" s="17">
        <v>0</v>
      </c>
      <c r="H83" s="17">
        <f t="shared" si="5"/>
        <v>6032.46</v>
      </c>
      <c r="I83" s="33" t="s">
        <v>243</v>
      </c>
    </row>
    <row r="84" s="6" customFormat="1" ht="24" customHeight="1" spans="1:9">
      <c r="A84" s="53" t="s">
        <v>244</v>
      </c>
      <c r="B84" s="17">
        <v>2104.151475</v>
      </c>
      <c r="C84" s="17">
        <f t="shared" si="4"/>
        <v>478.8955</v>
      </c>
      <c r="D84" s="17">
        <f>VLOOKUP(A84,'6.经费拨款'!$A$7:$C$144,3,0)</f>
        <v>239.2955</v>
      </c>
      <c r="E84" s="17">
        <v>239.6</v>
      </c>
      <c r="F84" s="17"/>
      <c r="G84" s="17">
        <v>54</v>
      </c>
      <c r="H84" s="17">
        <f t="shared" si="5"/>
        <v>2637.046975</v>
      </c>
      <c r="I84" s="33"/>
    </row>
    <row r="85" s="6" customFormat="1" ht="24" customHeight="1" spans="1:9">
      <c r="A85" s="53" t="s">
        <v>245</v>
      </c>
      <c r="B85" s="17">
        <v>1415.930204</v>
      </c>
      <c r="C85" s="17">
        <f t="shared" si="4"/>
        <v>221.4067</v>
      </c>
      <c r="D85" s="17">
        <f>VLOOKUP(A85,'6.经费拨款'!$A$7:$C$144,3,0)</f>
        <v>221.4067</v>
      </c>
      <c r="E85" s="17"/>
      <c r="F85" s="17"/>
      <c r="G85" s="17">
        <v>3678</v>
      </c>
      <c r="H85" s="17">
        <f t="shared" si="5"/>
        <v>5315.336904</v>
      </c>
      <c r="I85" s="33" t="s">
        <v>246</v>
      </c>
    </row>
    <row r="86" s="6" customFormat="1" ht="24" customHeight="1" spans="1:9">
      <c r="A86" s="53" t="s">
        <v>247</v>
      </c>
      <c r="B86" s="17">
        <v>64.601247</v>
      </c>
      <c r="C86" s="17">
        <f t="shared" si="4"/>
        <v>3.3757</v>
      </c>
      <c r="D86" s="17">
        <f>VLOOKUP(A86,'6.经费拨款'!$A$7:$C$144,3,0)</f>
        <v>3.3757</v>
      </c>
      <c r="E86" s="17"/>
      <c r="F86" s="17"/>
      <c r="G86" s="17">
        <v>1</v>
      </c>
      <c r="H86" s="17">
        <f t="shared" si="5"/>
        <v>68.976947</v>
      </c>
      <c r="I86" s="33"/>
    </row>
    <row r="87" s="6" customFormat="1" ht="24" customHeight="1" spans="1:9">
      <c r="A87" s="53" t="s">
        <v>248</v>
      </c>
      <c r="B87" s="17">
        <v>96.734183</v>
      </c>
      <c r="C87" s="17">
        <f t="shared" si="4"/>
        <v>15.2575</v>
      </c>
      <c r="D87" s="17">
        <f>VLOOKUP(A87,'6.经费拨款'!$A$7:$C$144,3,0)</f>
        <v>12.2575</v>
      </c>
      <c r="E87" s="17">
        <v>3</v>
      </c>
      <c r="F87" s="17"/>
      <c r="G87" s="17">
        <v>0</v>
      </c>
      <c r="H87" s="17">
        <f t="shared" si="5"/>
        <v>111.991683</v>
      </c>
      <c r="I87" s="33"/>
    </row>
    <row r="88" s="6" customFormat="1" ht="24" customHeight="1" spans="1:9">
      <c r="A88" s="53" t="s">
        <v>249</v>
      </c>
      <c r="B88" s="17">
        <v>47.972491</v>
      </c>
      <c r="C88" s="17">
        <f t="shared" si="4"/>
        <v>17.15</v>
      </c>
      <c r="D88" s="17">
        <f>VLOOKUP(A88,'6.经费拨款'!$A$7:$C$144,3,0)</f>
        <v>17.15</v>
      </c>
      <c r="E88" s="17"/>
      <c r="F88" s="17"/>
      <c r="G88" s="17">
        <v>0</v>
      </c>
      <c r="H88" s="17">
        <f t="shared" si="5"/>
        <v>65.122491</v>
      </c>
      <c r="I88" s="33"/>
    </row>
    <row r="89" s="6" customFormat="1" ht="24" customHeight="1" spans="1:9">
      <c r="A89" s="53" t="s">
        <v>78</v>
      </c>
      <c r="B89" s="17">
        <v>476.454329</v>
      </c>
      <c r="C89" s="17">
        <f t="shared" si="4"/>
        <v>118.0035</v>
      </c>
      <c r="D89" s="17">
        <f>VLOOKUP(A89,'6.经费拨款'!$A$7:$C$144,3,0)</f>
        <v>118.0035</v>
      </c>
      <c r="E89" s="17"/>
      <c r="F89" s="17"/>
      <c r="G89" s="17">
        <v>82</v>
      </c>
      <c r="H89" s="17">
        <f t="shared" si="5"/>
        <v>676.457829</v>
      </c>
      <c r="I89" s="33" t="s">
        <v>250</v>
      </c>
    </row>
    <row r="90" s="6" customFormat="1" ht="24" customHeight="1" spans="1:9">
      <c r="A90" s="53" t="s">
        <v>251</v>
      </c>
      <c r="B90" s="17">
        <v>125.948942</v>
      </c>
      <c r="C90" s="17">
        <f t="shared" si="4"/>
        <v>0.45</v>
      </c>
      <c r="D90" s="17">
        <f>VLOOKUP(A90,'6.经费拨款'!$A$7:$C$144,3,0)</f>
        <v>0.45</v>
      </c>
      <c r="E90" s="17"/>
      <c r="F90" s="17"/>
      <c r="G90" s="17">
        <v>0</v>
      </c>
      <c r="H90" s="17">
        <f t="shared" si="5"/>
        <v>126.398942</v>
      </c>
      <c r="I90" s="33"/>
    </row>
    <row r="91" s="6" customFormat="1" ht="24" customHeight="1" spans="1:9">
      <c r="A91" s="53" t="s">
        <v>252</v>
      </c>
      <c r="B91" s="17">
        <v>113.011919</v>
      </c>
      <c r="C91" s="17">
        <f t="shared" si="4"/>
        <v>0</v>
      </c>
      <c r="D91" s="17">
        <f>VLOOKUP(A91,'6.经费拨款'!$A$7:$C$144,3,0)</f>
        <v>0</v>
      </c>
      <c r="E91" s="17"/>
      <c r="F91" s="17"/>
      <c r="G91" s="17">
        <v>0</v>
      </c>
      <c r="H91" s="17">
        <f t="shared" si="5"/>
        <v>113.011919</v>
      </c>
      <c r="I91" s="33"/>
    </row>
    <row r="92" s="6" customFormat="1" ht="24" customHeight="1" spans="1:9">
      <c r="A92" s="53" t="s">
        <v>253</v>
      </c>
      <c r="B92" s="17">
        <v>1800</v>
      </c>
      <c r="C92" s="17">
        <f t="shared" si="4"/>
        <v>0</v>
      </c>
      <c r="D92" s="17"/>
      <c r="E92" s="17"/>
      <c r="F92" s="17"/>
      <c r="G92" s="17">
        <v>0</v>
      </c>
      <c r="H92" s="17">
        <f t="shared" si="5"/>
        <v>1800</v>
      </c>
      <c r="I92" s="33"/>
    </row>
    <row r="93" s="6" customFormat="1" ht="24" customHeight="1" spans="1:9">
      <c r="A93" s="53" t="s">
        <v>254</v>
      </c>
      <c r="B93" s="17">
        <v>156.174348</v>
      </c>
      <c r="C93" s="17">
        <f t="shared" si="4"/>
        <v>534.5738</v>
      </c>
      <c r="D93" s="17">
        <f>VLOOKUP(A93,'6.经费拨款'!$A$7:$C$144,3,0)</f>
        <v>54.5738</v>
      </c>
      <c r="E93" s="17">
        <v>480</v>
      </c>
      <c r="F93" s="17"/>
      <c r="G93" s="17">
        <v>28</v>
      </c>
      <c r="H93" s="17">
        <f t="shared" si="5"/>
        <v>718.748148</v>
      </c>
      <c r="I93" s="33"/>
    </row>
    <row r="94" s="6" customFormat="1" ht="24" customHeight="1" spans="1:9">
      <c r="A94" s="53" t="s">
        <v>255</v>
      </c>
      <c r="B94" s="17">
        <v>582.591572</v>
      </c>
      <c r="C94" s="17">
        <f t="shared" si="4"/>
        <v>75.7488</v>
      </c>
      <c r="D94" s="17">
        <f>VLOOKUP(A94,'6.经费拨款'!$A$7:$C$144,3,0)</f>
        <v>75.7488</v>
      </c>
      <c r="E94" s="17"/>
      <c r="F94" s="17"/>
      <c r="G94" s="17">
        <v>0</v>
      </c>
      <c r="H94" s="17">
        <f t="shared" si="5"/>
        <v>658.340372</v>
      </c>
      <c r="I94" s="33"/>
    </row>
    <row r="95" s="6" customFormat="1" ht="24" customHeight="1" spans="1:9">
      <c r="A95" s="53" t="s">
        <v>256</v>
      </c>
      <c r="B95" s="17">
        <v>607.652857</v>
      </c>
      <c r="C95" s="17">
        <f t="shared" si="4"/>
        <v>176.6034</v>
      </c>
      <c r="D95" s="17">
        <f>VLOOKUP(A95,'6.经费拨款'!$A$7:$C$144,3,0)</f>
        <v>166.6034</v>
      </c>
      <c r="E95" s="17">
        <v>10</v>
      </c>
      <c r="F95" s="17"/>
      <c r="G95" s="17">
        <v>35</v>
      </c>
      <c r="H95" s="17">
        <f t="shared" si="5"/>
        <v>819.256257</v>
      </c>
      <c r="I95" s="33" t="s">
        <v>257</v>
      </c>
    </row>
    <row r="96" s="6" customFormat="1" ht="24" customHeight="1" spans="1:9">
      <c r="A96" s="53" t="s">
        <v>258</v>
      </c>
      <c r="B96" s="17">
        <v>2057.229823</v>
      </c>
      <c r="C96" s="17">
        <f t="shared" si="4"/>
        <v>61.8</v>
      </c>
      <c r="D96" s="17">
        <f>VLOOKUP(A96,'6.经费拨款'!$A$7:$C$144,3,0)</f>
        <v>61.8</v>
      </c>
      <c r="E96" s="17"/>
      <c r="F96" s="17"/>
      <c r="G96" s="17">
        <v>1045</v>
      </c>
      <c r="H96" s="17">
        <f t="shared" si="5"/>
        <v>3164.029823</v>
      </c>
      <c r="I96" s="33"/>
    </row>
    <row r="97" s="6" customFormat="1" ht="24" customHeight="1" spans="1:9">
      <c r="A97" s="53" t="s">
        <v>259</v>
      </c>
      <c r="B97" s="17">
        <v>780</v>
      </c>
      <c r="C97" s="17">
        <f t="shared" si="4"/>
        <v>0</v>
      </c>
      <c r="D97" s="17">
        <f>VLOOKUP(A97,'6.经费拨款'!$A$7:$C$144,3,0)</f>
        <v>0</v>
      </c>
      <c r="E97" s="17"/>
      <c r="F97" s="17"/>
      <c r="G97" s="17">
        <v>0</v>
      </c>
      <c r="H97" s="17">
        <f t="shared" si="5"/>
        <v>780</v>
      </c>
      <c r="I97" s="33"/>
    </row>
    <row r="98" s="6" customFormat="1" ht="24" customHeight="1" spans="1:9">
      <c r="A98" s="53" t="s">
        <v>260</v>
      </c>
      <c r="B98" s="17">
        <v>1308.197825</v>
      </c>
      <c r="C98" s="17">
        <f t="shared" si="4"/>
        <v>399.348617</v>
      </c>
      <c r="D98" s="17">
        <f>VLOOKUP(A98,'6.经费拨款'!$A$7:$C$144,3,0)</f>
        <v>174.348617</v>
      </c>
      <c r="E98" s="17">
        <v>225</v>
      </c>
      <c r="F98" s="17"/>
      <c r="G98" s="17">
        <v>74</v>
      </c>
      <c r="H98" s="17">
        <f t="shared" si="5"/>
        <v>1781.546442</v>
      </c>
      <c r="I98" s="33"/>
    </row>
    <row r="99" s="6" customFormat="1" ht="24" customHeight="1" spans="1:9">
      <c r="A99" s="53" t="s">
        <v>261</v>
      </c>
      <c r="B99" s="17">
        <v>626.65778</v>
      </c>
      <c r="C99" s="17">
        <f t="shared" si="4"/>
        <v>516.0461</v>
      </c>
      <c r="D99" s="17">
        <f>VLOOKUP(A99,'6.经费拨款'!$A$7:$C$144,3,0)</f>
        <v>76.0461</v>
      </c>
      <c r="E99" s="17">
        <v>440</v>
      </c>
      <c r="F99" s="17"/>
      <c r="G99" s="17">
        <v>2266</v>
      </c>
      <c r="H99" s="17">
        <f t="shared" si="5"/>
        <v>3408.70388</v>
      </c>
      <c r="I99" s="33"/>
    </row>
    <row r="100" s="6" customFormat="1" ht="24" customHeight="1" spans="1:9">
      <c r="A100" s="53" t="s">
        <v>262</v>
      </c>
      <c r="B100" s="17">
        <v>876.738908</v>
      </c>
      <c r="C100" s="17">
        <f t="shared" si="4"/>
        <v>110.213</v>
      </c>
      <c r="D100" s="17">
        <f>VLOOKUP(A100,'6.经费拨款'!$A$7:$C$144,3,0)</f>
        <v>110.213</v>
      </c>
      <c r="E100" s="17"/>
      <c r="F100" s="17"/>
      <c r="G100" s="17">
        <v>1</v>
      </c>
      <c r="H100" s="17">
        <f t="shared" si="5"/>
        <v>987.951908</v>
      </c>
      <c r="I100" s="33"/>
    </row>
    <row r="101" s="6" customFormat="1" ht="24" customHeight="1" spans="1:9">
      <c r="A101" s="53" t="s">
        <v>263</v>
      </c>
      <c r="B101" s="17">
        <v>130.086712</v>
      </c>
      <c r="C101" s="17">
        <f t="shared" si="4"/>
        <v>50.0679</v>
      </c>
      <c r="D101" s="17">
        <f>VLOOKUP(A101,'6.经费拨款'!$A$7:$C$144,3,0)</f>
        <v>45.0679</v>
      </c>
      <c r="E101" s="17">
        <v>5</v>
      </c>
      <c r="F101" s="17"/>
      <c r="G101" s="17">
        <v>66</v>
      </c>
      <c r="H101" s="17">
        <f t="shared" si="5"/>
        <v>246.154612</v>
      </c>
      <c r="I101" s="33" t="s">
        <v>264</v>
      </c>
    </row>
    <row r="102" s="6" customFormat="1" ht="24" customHeight="1" spans="1:9">
      <c r="A102" s="53" t="s">
        <v>265</v>
      </c>
      <c r="B102" s="17">
        <v>3511.551217</v>
      </c>
      <c r="C102" s="17">
        <f t="shared" si="4"/>
        <v>531.098956</v>
      </c>
      <c r="D102" s="17">
        <f>VLOOKUP(A102,'6.经费拨款'!$A$7:$C$144,3,0)</f>
        <v>425.098956</v>
      </c>
      <c r="E102" s="17">
        <v>106</v>
      </c>
      <c r="F102" s="17"/>
      <c r="G102" s="17">
        <v>14593</v>
      </c>
      <c r="H102" s="17">
        <f t="shared" si="5"/>
        <v>18635.650173</v>
      </c>
      <c r="I102" s="16" t="s">
        <v>266</v>
      </c>
    </row>
    <row r="103" s="6" customFormat="1" ht="24" customHeight="1" spans="1:9">
      <c r="A103" s="53" t="s">
        <v>267</v>
      </c>
      <c r="B103" s="17">
        <v>5.1768</v>
      </c>
      <c r="C103" s="17">
        <f t="shared" ref="C103:C144" si="6">D103+E103+F103</f>
        <v>0</v>
      </c>
      <c r="D103" s="17">
        <f>VLOOKUP(A103,'6.经费拨款'!$A$7:$C$144,3,0)</f>
        <v>0</v>
      </c>
      <c r="E103" s="17"/>
      <c r="F103" s="17"/>
      <c r="G103" s="17">
        <v>0</v>
      </c>
      <c r="H103" s="17">
        <f t="shared" ref="H103:H144" si="7">B103+C103+G103</f>
        <v>5.1768</v>
      </c>
      <c r="I103" s="33"/>
    </row>
    <row r="104" s="6" customFormat="1" ht="24" customHeight="1" spans="1:9">
      <c r="A104" s="53" t="s">
        <v>268</v>
      </c>
      <c r="B104" s="17">
        <v>1286.97291</v>
      </c>
      <c r="C104" s="17">
        <f t="shared" si="6"/>
        <v>3173.150891</v>
      </c>
      <c r="D104" s="17">
        <f>VLOOKUP(A104,'6.经费拨款'!$A$7:$C$144,3,0)</f>
        <v>3163.150891</v>
      </c>
      <c r="E104" s="17">
        <v>10</v>
      </c>
      <c r="F104" s="17"/>
      <c r="G104" s="17">
        <v>12104</v>
      </c>
      <c r="H104" s="17">
        <f t="shared" si="7"/>
        <v>16564.123801</v>
      </c>
      <c r="I104" s="37" t="s">
        <v>269</v>
      </c>
    </row>
    <row r="105" s="6" customFormat="1" ht="24" customHeight="1" spans="1:9">
      <c r="A105" s="53" t="s">
        <v>270</v>
      </c>
      <c r="B105" s="17">
        <v>759.163062</v>
      </c>
      <c r="C105" s="17">
        <f t="shared" si="6"/>
        <v>331.2721</v>
      </c>
      <c r="D105" s="17">
        <f>VLOOKUP(A105,'6.经费拨款'!$A$7:$C$144,3,0)</f>
        <v>331.2721</v>
      </c>
      <c r="E105" s="17"/>
      <c r="F105" s="17"/>
      <c r="G105" s="17">
        <v>1509</v>
      </c>
      <c r="H105" s="17">
        <f t="shared" si="7"/>
        <v>2599.435162</v>
      </c>
      <c r="I105" s="37" t="s">
        <v>271</v>
      </c>
    </row>
    <row r="106" s="6" customFormat="1" ht="24" customHeight="1" spans="1:9">
      <c r="A106" s="53" t="s">
        <v>272</v>
      </c>
      <c r="B106" s="17">
        <v>90.28717</v>
      </c>
      <c r="C106" s="17">
        <f t="shared" si="6"/>
        <v>0</v>
      </c>
      <c r="D106" s="17">
        <f>VLOOKUP(A106,'6.经费拨款'!$A$7:$C$144,3,0)</f>
        <v>0</v>
      </c>
      <c r="E106" s="17"/>
      <c r="F106" s="17"/>
      <c r="G106" s="17">
        <v>0</v>
      </c>
      <c r="H106" s="17">
        <f t="shared" si="7"/>
        <v>90.28717</v>
      </c>
      <c r="I106" s="37"/>
    </row>
    <row r="107" s="6" customFormat="1" ht="24" customHeight="1" spans="1:9">
      <c r="A107" s="53" t="s">
        <v>273</v>
      </c>
      <c r="B107" s="17">
        <v>105.84</v>
      </c>
      <c r="C107" s="17">
        <f t="shared" si="6"/>
        <v>0</v>
      </c>
      <c r="D107" s="17">
        <f>VLOOKUP(A107,'6.经费拨款'!$A$7:$C$144,3,0)</f>
        <v>0</v>
      </c>
      <c r="E107" s="17"/>
      <c r="F107" s="17"/>
      <c r="G107" s="17">
        <v>0</v>
      </c>
      <c r="H107" s="17">
        <f t="shared" si="7"/>
        <v>105.84</v>
      </c>
      <c r="I107" s="35"/>
    </row>
    <row r="108" s="6" customFormat="1" ht="24" customHeight="1" spans="1:9">
      <c r="A108" s="53" t="s">
        <v>274</v>
      </c>
      <c r="B108" s="17">
        <v>849.117523</v>
      </c>
      <c r="C108" s="17">
        <f t="shared" si="6"/>
        <v>272.1025</v>
      </c>
      <c r="D108" s="17">
        <f>VLOOKUP(A108,'6.经费拨款'!$A$7:$C$144,3,0)</f>
        <v>272.1025</v>
      </c>
      <c r="E108" s="17"/>
      <c r="F108" s="17"/>
      <c r="G108" s="17">
        <v>571</v>
      </c>
      <c r="H108" s="17">
        <f t="shared" si="7"/>
        <v>1692.220023</v>
      </c>
      <c r="I108" s="33" t="s">
        <v>275</v>
      </c>
    </row>
    <row r="109" s="6" customFormat="1" ht="24" customHeight="1" spans="1:9">
      <c r="A109" s="53" t="s">
        <v>276</v>
      </c>
      <c r="B109" s="17">
        <v>249.34331</v>
      </c>
      <c r="C109" s="17">
        <f t="shared" si="6"/>
        <v>54.3541</v>
      </c>
      <c r="D109" s="17">
        <f>VLOOKUP(A109,'6.经费拨款'!$A$7:$C$144,3,0)</f>
        <v>54.3541</v>
      </c>
      <c r="E109" s="17"/>
      <c r="F109" s="17"/>
      <c r="G109" s="17">
        <v>800</v>
      </c>
      <c r="H109" s="17">
        <f t="shared" si="7"/>
        <v>1103.69741</v>
      </c>
      <c r="I109" s="33" t="s">
        <v>277</v>
      </c>
    </row>
    <row r="110" s="6" customFormat="1" ht="24" customHeight="1" spans="1:9">
      <c r="A110" s="53" t="s">
        <v>278</v>
      </c>
      <c r="B110" s="17">
        <v>491.797115</v>
      </c>
      <c r="C110" s="17">
        <f t="shared" si="6"/>
        <v>8.4082</v>
      </c>
      <c r="D110" s="17">
        <f>VLOOKUP(A110,'6.经费拨款'!$A$7:$C$144,3,0)</f>
        <v>8.4082</v>
      </c>
      <c r="E110" s="17"/>
      <c r="F110" s="17"/>
      <c r="G110" s="17">
        <v>97</v>
      </c>
      <c r="H110" s="17">
        <f t="shared" si="7"/>
        <v>597.205315</v>
      </c>
      <c r="I110" s="16"/>
    </row>
    <row r="111" s="6" customFormat="1" ht="24" customHeight="1" spans="1:9">
      <c r="A111" s="53" t="s">
        <v>279</v>
      </c>
      <c r="B111" s="17">
        <v>132.82882</v>
      </c>
      <c r="C111" s="17">
        <f t="shared" si="6"/>
        <v>19.9788</v>
      </c>
      <c r="D111" s="17">
        <f>VLOOKUP(A111,'6.经费拨款'!$A$7:$C$144,3,0)</f>
        <v>19.9788</v>
      </c>
      <c r="E111" s="17"/>
      <c r="F111" s="17"/>
      <c r="G111" s="17">
        <v>5</v>
      </c>
      <c r="H111" s="17">
        <f t="shared" si="7"/>
        <v>157.80762</v>
      </c>
      <c r="I111" s="33"/>
    </row>
    <row r="112" s="6" customFormat="1" ht="24" customHeight="1" spans="1:9">
      <c r="A112" s="53" t="s">
        <v>280</v>
      </c>
      <c r="B112" s="17">
        <v>362.200417</v>
      </c>
      <c r="C112" s="17">
        <f t="shared" si="6"/>
        <v>70.8501</v>
      </c>
      <c r="D112" s="17">
        <f>VLOOKUP(A112,'6.经费拨款'!$A$7:$C$144,3,0)</f>
        <v>70.8501</v>
      </c>
      <c r="E112" s="17"/>
      <c r="F112" s="17"/>
      <c r="G112" s="17">
        <v>64</v>
      </c>
      <c r="H112" s="17">
        <f t="shared" si="7"/>
        <v>497.050517</v>
      </c>
      <c r="I112" s="33" t="s">
        <v>281</v>
      </c>
    </row>
    <row r="113" s="6" customFormat="1" ht="24" customHeight="1" spans="1:9">
      <c r="A113" s="53" t="s">
        <v>282</v>
      </c>
      <c r="B113" s="17">
        <v>553.798667</v>
      </c>
      <c r="C113" s="17">
        <f t="shared" si="6"/>
        <v>61.348</v>
      </c>
      <c r="D113" s="17">
        <f>VLOOKUP(A113,'6.经费拨款'!$A$7:$C$144,3,0)</f>
        <v>61.348</v>
      </c>
      <c r="E113" s="17"/>
      <c r="F113" s="17"/>
      <c r="G113" s="17">
        <v>71</v>
      </c>
      <c r="H113" s="17">
        <f t="shared" si="7"/>
        <v>686.146667</v>
      </c>
      <c r="I113" s="33"/>
    </row>
    <row r="114" s="6" customFormat="1" ht="24" customHeight="1" spans="1:9">
      <c r="A114" s="53" t="s">
        <v>283</v>
      </c>
      <c r="B114" s="17">
        <v>2586.764766</v>
      </c>
      <c r="C114" s="17">
        <f t="shared" si="6"/>
        <v>426.70289</v>
      </c>
      <c r="D114" s="17">
        <f>VLOOKUP(A114,'6.经费拨款'!$A$7:$C$144,3,0)</f>
        <v>356.70289</v>
      </c>
      <c r="E114" s="17">
        <v>70</v>
      </c>
      <c r="F114" s="17"/>
      <c r="G114" s="17">
        <v>1335</v>
      </c>
      <c r="H114" s="17">
        <f t="shared" si="7"/>
        <v>4348.467656</v>
      </c>
      <c r="I114" s="33" t="s">
        <v>284</v>
      </c>
    </row>
    <row r="115" s="6" customFormat="1" ht="24" customHeight="1" spans="1:9">
      <c r="A115" s="53" t="s">
        <v>285</v>
      </c>
      <c r="B115" s="17">
        <v>1338.705004</v>
      </c>
      <c r="C115" s="17">
        <f t="shared" si="6"/>
        <v>902.38041</v>
      </c>
      <c r="D115" s="17">
        <f>VLOOKUP(A115,'6.经费拨款'!$A$7:$C$144,3,0)</f>
        <v>187.38041</v>
      </c>
      <c r="E115" s="17">
        <v>715</v>
      </c>
      <c r="F115" s="17"/>
      <c r="G115" s="17">
        <v>533</v>
      </c>
      <c r="H115" s="17">
        <f t="shared" si="7"/>
        <v>2774.085414</v>
      </c>
      <c r="I115" s="33" t="s">
        <v>286</v>
      </c>
    </row>
    <row r="116" s="6" customFormat="1" ht="24" customHeight="1" spans="1:9">
      <c r="A116" s="53" t="s">
        <v>287</v>
      </c>
      <c r="B116" s="17">
        <v>2576.583692</v>
      </c>
      <c r="C116" s="17">
        <f t="shared" si="6"/>
        <v>313.26552</v>
      </c>
      <c r="D116" s="17">
        <f>VLOOKUP(A116,'6.经费拨款'!$A$7:$C$144,3,0)</f>
        <v>310.26552</v>
      </c>
      <c r="E116" s="17">
        <v>3</v>
      </c>
      <c r="F116" s="17"/>
      <c r="G116" s="17">
        <v>2045</v>
      </c>
      <c r="H116" s="17">
        <f t="shared" si="7"/>
        <v>4934.849212</v>
      </c>
      <c r="I116" s="33" t="s">
        <v>288</v>
      </c>
    </row>
    <row r="117" s="6" customFormat="1" ht="24" customHeight="1" spans="1:9">
      <c r="A117" s="53" t="s">
        <v>289</v>
      </c>
      <c r="B117" s="17">
        <v>1492.56892</v>
      </c>
      <c r="C117" s="17">
        <f t="shared" si="6"/>
        <v>212.4545</v>
      </c>
      <c r="D117" s="17">
        <f>VLOOKUP(A117,'6.经费拨款'!$A$7:$C$144,3,0)</f>
        <v>192.4545</v>
      </c>
      <c r="E117" s="17">
        <v>20</v>
      </c>
      <c r="F117" s="17"/>
      <c r="G117" s="17">
        <v>662</v>
      </c>
      <c r="H117" s="17">
        <f t="shared" si="7"/>
        <v>2367.02342</v>
      </c>
      <c r="I117" s="33" t="s">
        <v>290</v>
      </c>
    </row>
    <row r="118" s="6" customFormat="1" ht="24" customHeight="1" spans="1:9">
      <c r="A118" s="53" t="s">
        <v>291</v>
      </c>
      <c r="B118" s="17">
        <v>1680.379026</v>
      </c>
      <c r="C118" s="17">
        <f t="shared" si="6"/>
        <v>380.9144</v>
      </c>
      <c r="D118" s="17">
        <f>VLOOKUP(A118,'6.经费拨款'!$A$7:$C$144,3,0)</f>
        <v>370.9144</v>
      </c>
      <c r="E118" s="17">
        <v>10</v>
      </c>
      <c r="F118" s="17"/>
      <c r="G118" s="17">
        <v>761</v>
      </c>
      <c r="H118" s="17">
        <f t="shared" si="7"/>
        <v>2822.293426</v>
      </c>
      <c r="I118" s="33" t="s">
        <v>292</v>
      </c>
    </row>
    <row r="119" s="6" customFormat="1" ht="24" customHeight="1" spans="1:9">
      <c r="A119" s="53" t="s">
        <v>293</v>
      </c>
      <c r="B119" s="17">
        <v>1283.603086</v>
      </c>
      <c r="C119" s="17">
        <f t="shared" si="6"/>
        <v>247.1952</v>
      </c>
      <c r="D119" s="17">
        <f>VLOOKUP(A119,'6.经费拨款'!$A$7:$C$144,3,0)</f>
        <v>235.1952</v>
      </c>
      <c r="E119" s="17">
        <v>12</v>
      </c>
      <c r="F119" s="17"/>
      <c r="G119" s="17">
        <v>831</v>
      </c>
      <c r="H119" s="17">
        <f t="shared" si="7"/>
        <v>2361.798286</v>
      </c>
      <c r="I119" s="33" t="s">
        <v>294</v>
      </c>
    </row>
    <row r="120" s="6" customFormat="1" ht="24" customHeight="1" spans="1:9">
      <c r="A120" s="53" t="s">
        <v>295</v>
      </c>
      <c r="B120" s="17">
        <v>947.911486</v>
      </c>
      <c r="C120" s="17">
        <f t="shared" si="6"/>
        <v>105.8777</v>
      </c>
      <c r="D120" s="17">
        <f>VLOOKUP(A120,'6.经费拨款'!$A$7:$C$144,3,0)</f>
        <v>78.8777</v>
      </c>
      <c r="E120" s="17">
        <v>27</v>
      </c>
      <c r="F120" s="17"/>
      <c r="G120" s="17">
        <v>362</v>
      </c>
      <c r="H120" s="17">
        <f t="shared" si="7"/>
        <v>1415.789186</v>
      </c>
      <c r="I120" s="33" t="s">
        <v>296</v>
      </c>
    </row>
    <row r="121" s="6" customFormat="1" ht="24" customHeight="1" spans="1:9">
      <c r="A121" s="53" t="s">
        <v>297</v>
      </c>
      <c r="B121" s="17">
        <v>752.694974</v>
      </c>
      <c r="C121" s="17">
        <f t="shared" si="6"/>
        <v>132.7885</v>
      </c>
      <c r="D121" s="17">
        <f>VLOOKUP(A121,'6.经费拨款'!$A$7:$C$144,3,0)</f>
        <v>108.7885</v>
      </c>
      <c r="E121" s="17">
        <v>24</v>
      </c>
      <c r="F121" s="17"/>
      <c r="G121" s="17">
        <v>342</v>
      </c>
      <c r="H121" s="17">
        <f t="shared" si="7"/>
        <v>1227.483474</v>
      </c>
      <c r="I121" s="33" t="s">
        <v>298</v>
      </c>
    </row>
    <row r="122" s="6" customFormat="1" ht="24" customHeight="1" spans="1:9">
      <c r="A122" s="53" t="s">
        <v>74</v>
      </c>
      <c r="B122" s="17">
        <v>1324.099439</v>
      </c>
      <c r="C122" s="17">
        <f t="shared" si="6"/>
        <v>452.46078</v>
      </c>
      <c r="D122" s="17">
        <f>VLOOKUP(A122,'6.经费拨款'!$A$7:$C$144,3,0)</f>
        <v>388.46078</v>
      </c>
      <c r="E122" s="17">
        <v>64</v>
      </c>
      <c r="F122" s="17"/>
      <c r="G122" s="17">
        <v>6229</v>
      </c>
      <c r="H122" s="17">
        <f t="shared" si="7"/>
        <v>8005.560219</v>
      </c>
      <c r="I122" s="33" t="s">
        <v>299</v>
      </c>
    </row>
    <row r="123" s="6" customFormat="1" ht="24" customHeight="1" spans="1:9">
      <c r="A123" s="53" t="s">
        <v>300</v>
      </c>
      <c r="B123" s="17">
        <v>275.659746</v>
      </c>
      <c r="C123" s="17">
        <f t="shared" si="6"/>
        <v>68.132434</v>
      </c>
      <c r="D123" s="17">
        <f>VLOOKUP(A123,'6.经费拨款'!$A$7:$C$144,3,0)</f>
        <v>68.132434</v>
      </c>
      <c r="E123" s="17"/>
      <c r="F123" s="17"/>
      <c r="G123" s="17">
        <v>0</v>
      </c>
      <c r="H123" s="17">
        <f t="shared" si="7"/>
        <v>343.79218</v>
      </c>
      <c r="I123" s="33" t="s">
        <v>301</v>
      </c>
    </row>
    <row r="124" s="6" customFormat="1" ht="24" customHeight="1" spans="1:9">
      <c r="A124" s="53" t="s">
        <v>302</v>
      </c>
      <c r="B124" s="17">
        <v>469.483207</v>
      </c>
      <c r="C124" s="17">
        <f t="shared" si="6"/>
        <v>66.208075</v>
      </c>
      <c r="D124" s="17">
        <f>VLOOKUP(A124,'6.经费拨款'!$A$7:$C$144,3,0)</f>
        <v>36.208075</v>
      </c>
      <c r="E124" s="17">
        <v>30</v>
      </c>
      <c r="F124" s="17"/>
      <c r="G124" s="17">
        <v>717</v>
      </c>
      <c r="H124" s="17">
        <f t="shared" si="7"/>
        <v>1252.691282</v>
      </c>
      <c r="I124" s="33"/>
    </row>
    <row r="125" s="6" customFormat="1" ht="24" customHeight="1" spans="1:9">
      <c r="A125" s="53" t="s">
        <v>303</v>
      </c>
      <c r="B125" s="17">
        <v>132.75</v>
      </c>
      <c r="C125" s="17">
        <f t="shared" si="6"/>
        <v>0</v>
      </c>
      <c r="D125" s="17">
        <f>VLOOKUP(A125,'6.经费拨款'!$A$7:$C$144,3,0)</f>
        <v>0</v>
      </c>
      <c r="E125" s="17"/>
      <c r="F125" s="17"/>
      <c r="G125" s="17">
        <v>0</v>
      </c>
      <c r="H125" s="17">
        <f t="shared" si="7"/>
        <v>132.75</v>
      </c>
      <c r="I125" s="33"/>
    </row>
    <row r="126" s="6" customFormat="1" ht="24" customHeight="1" spans="1:9">
      <c r="A126" s="53" t="s">
        <v>304</v>
      </c>
      <c r="B126" s="17">
        <v>631.5</v>
      </c>
      <c r="C126" s="17">
        <f t="shared" si="6"/>
        <v>0</v>
      </c>
      <c r="D126" s="17">
        <f>VLOOKUP(A126,'6.经费拨款'!$A$7:$C$144,3,0)</f>
        <v>0</v>
      </c>
      <c r="E126" s="17"/>
      <c r="F126" s="17"/>
      <c r="G126" s="17">
        <v>0</v>
      </c>
      <c r="H126" s="17">
        <f t="shared" si="7"/>
        <v>631.5</v>
      </c>
      <c r="I126" s="33"/>
    </row>
    <row r="127" s="6" customFormat="1" ht="24" customHeight="1" spans="1:9">
      <c r="A127" s="53" t="s">
        <v>60</v>
      </c>
      <c r="B127" s="17">
        <v>700.04</v>
      </c>
      <c r="C127" s="17">
        <f t="shared" si="6"/>
        <v>9</v>
      </c>
      <c r="D127" s="17">
        <f>VLOOKUP(A127,'6.经费拨款'!$A$7:$C$144,3,0)</f>
        <v>10</v>
      </c>
      <c r="E127" s="17">
        <v>-120</v>
      </c>
      <c r="F127" s="17">
        <v>119</v>
      </c>
      <c r="G127" s="17">
        <v>278</v>
      </c>
      <c r="H127" s="17">
        <f t="shared" si="7"/>
        <v>987.04</v>
      </c>
      <c r="I127" s="33" t="s">
        <v>305</v>
      </c>
    </row>
    <row r="128" s="6" customFormat="1" ht="44" customHeight="1" spans="1:9">
      <c r="A128" s="53" t="s">
        <v>306</v>
      </c>
      <c r="B128" s="17">
        <v>38345.12</v>
      </c>
      <c r="C128" s="17">
        <f t="shared" si="6"/>
        <v>-3152.577</v>
      </c>
      <c r="D128" s="17">
        <f>VLOOKUP(A128,'6.经费拨款'!$A$7:$C$144,3,0)</f>
        <v>-1152.577</v>
      </c>
      <c r="E128" s="17">
        <v>-2000</v>
      </c>
      <c r="F128" s="17"/>
      <c r="G128" s="17">
        <v>12860</v>
      </c>
      <c r="H128" s="17">
        <f t="shared" si="7"/>
        <v>48052.543</v>
      </c>
      <c r="I128" s="33" t="s">
        <v>307</v>
      </c>
    </row>
    <row r="129" s="6" customFormat="1" ht="24" customHeight="1" spans="1:9">
      <c r="A129" s="53" t="s">
        <v>308</v>
      </c>
      <c r="B129" s="17">
        <v>52</v>
      </c>
      <c r="C129" s="17">
        <f t="shared" si="6"/>
        <v>0</v>
      </c>
      <c r="D129" s="17">
        <f>VLOOKUP(A129,'6.经费拨款'!$A$7:$C$144,3,0)</f>
        <v>0</v>
      </c>
      <c r="E129" s="17"/>
      <c r="F129" s="17"/>
      <c r="G129" s="17">
        <v>0</v>
      </c>
      <c r="H129" s="17">
        <f t="shared" si="7"/>
        <v>52</v>
      </c>
      <c r="I129" s="33"/>
    </row>
    <row r="130" s="6" customFormat="1" ht="24" customHeight="1" spans="1:9">
      <c r="A130" s="53" t="s">
        <v>309</v>
      </c>
      <c r="B130" s="17">
        <v>26.24</v>
      </c>
      <c r="C130" s="17">
        <f t="shared" si="6"/>
        <v>0</v>
      </c>
      <c r="D130" s="17">
        <f>VLOOKUP(A130,'6.经费拨款'!$A$7:$C$144,3,0)</f>
        <v>0</v>
      </c>
      <c r="E130" s="17"/>
      <c r="F130" s="17"/>
      <c r="G130" s="17">
        <v>0</v>
      </c>
      <c r="H130" s="17">
        <f t="shared" si="7"/>
        <v>26.24</v>
      </c>
      <c r="I130" s="33"/>
    </row>
    <row r="131" s="6" customFormat="1" ht="24" customHeight="1" spans="1:9">
      <c r="A131" s="53" t="s">
        <v>310</v>
      </c>
      <c r="B131" s="17">
        <v>12</v>
      </c>
      <c r="C131" s="17">
        <f t="shared" si="6"/>
        <v>0</v>
      </c>
      <c r="D131" s="17">
        <f>VLOOKUP(A131,'6.经费拨款'!$A$7:$C$144,3,0)</f>
        <v>0</v>
      </c>
      <c r="E131" s="17"/>
      <c r="F131" s="17"/>
      <c r="G131" s="17">
        <v>30</v>
      </c>
      <c r="H131" s="17">
        <f t="shared" si="7"/>
        <v>42</v>
      </c>
      <c r="I131" s="33"/>
    </row>
    <row r="132" s="6" customFormat="1" ht="24" customHeight="1" spans="1:9">
      <c r="A132" s="53" t="s">
        <v>311</v>
      </c>
      <c r="B132" s="17">
        <v>20</v>
      </c>
      <c r="C132" s="17">
        <f t="shared" si="6"/>
        <v>0</v>
      </c>
      <c r="D132" s="17">
        <f>VLOOKUP(A132,'6.经费拨款'!$A$7:$C$144,3,0)</f>
        <v>0</v>
      </c>
      <c r="E132" s="17"/>
      <c r="F132" s="17"/>
      <c r="G132" s="17">
        <v>0</v>
      </c>
      <c r="H132" s="17">
        <f t="shared" si="7"/>
        <v>20</v>
      </c>
      <c r="I132" s="33"/>
    </row>
    <row r="133" s="6" customFormat="1" ht="24" customHeight="1" spans="1:9">
      <c r="A133" s="53" t="s">
        <v>312</v>
      </c>
      <c r="B133" s="17">
        <v>7.8</v>
      </c>
      <c r="C133" s="17">
        <f t="shared" si="6"/>
        <v>0</v>
      </c>
      <c r="D133" s="17">
        <f>VLOOKUP(A133,'6.经费拨款'!$A$7:$C$144,3,0)</f>
        <v>0</v>
      </c>
      <c r="E133" s="17"/>
      <c r="F133" s="17"/>
      <c r="G133" s="17">
        <v>5</v>
      </c>
      <c r="H133" s="17">
        <f t="shared" si="7"/>
        <v>12.8</v>
      </c>
      <c r="I133" s="33"/>
    </row>
    <row r="134" s="6" customFormat="1" ht="24" customHeight="1" spans="1:9">
      <c r="A134" s="53" t="s">
        <v>313</v>
      </c>
      <c r="B134" s="17">
        <v>6.4</v>
      </c>
      <c r="C134" s="17">
        <f t="shared" si="6"/>
        <v>0</v>
      </c>
      <c r="D134" s="17">
        <f>VLOOKUP(A134,'6.经费拨款'!$A$7:$C$144,3,0)</f>
        <v>0</v>
      </c>
      <c r="E134" s="17"/>
      <c r="F134" s="17"/>
      <c r="G134" s="17">
        <v>0</v>
      </c>
      <c r="H134" s="17">
        <f t="shared" si="7"/>
        <v>6.4</v>
      </c>
      <c r="I134" s="33"/>
    </row>
    <row r="135" s="6" customFormat="1" ht="24" customHeight="1" spans="1:9">
      <c r="A135" s="53" t="s">
        <v>314</v>
      </c>
      <c r="B135" s="17">
        <v>17.4</v>
      </c>
      <c r="C135" s="17">
        <f t="shared" si="6"/>
        <v>0</v>
      </c>
      <c r="D135" s="17">
        <f>VLOOKUP(A135,'6.经费拨款'!$A$7:$C$144,3,0)</f>
        <v>0</v>
      </c>
      <c r="E135" s="17"/>
      <c r="F135" s="17"/>
      <c r="G135" s="17">
        <v>0</v>
      </c>
      <c r="H135" s="17">
        <f t="shared" si="7"/>
        <v>17.4</v>
      </c>
      <c r="I135" s="33"/>
    </row>
    <row r="136" s="6" customFormat="1" ht="24" customHeight="1" spans="1:9">
      <c r="A136" s="53" t="s">
        <v>315</v>
      </c>
      <c r="B136" s="17">
        <v>22</v>
      </c>
      <c r="C136" s="17">
        <f t="shared" si="6"/>
        <v>0</v>
      </c>
      <c r="D136" s="17">
        <f>VLOOKUP(A136,'6.经费拨款'!$A$7:$C$144,3,0)</f>
        <v>0</v>
      </c>
      <c r="E136" s="17"/>
      <c r="F136" s="17"/>
      <c r="G136" s="17">
        <v>0</v>
      </c>
      <c r="H136" s="17">
        <f t="shared" si="7"/>
        <v>22</v>
      </c>
      <c r="I136" s="33"/>
    </row>
    <row r="137" s="6" customFormat="1" ht="24" customHeight="1" spans="1:9">
      <c r="A137" s="53" t="s">
        <v>316</v>
      </c>
      <c r="B137" s="17">
        <v>8</v>
      </c>
      <c r="C137" s="17">
        <f t="shared" si="6"/>
        <v>0</v>
      </c>
      <c r="D137" s="17">
        <f>VLOOKUP(A137,'6.经费拨款'!$A$7:$C$144,3,0)</f>
        <v>0</v>
      </c>
      <c r="E137" s="17"/>
      <c r="F137" s="17"/>
      <c r="G137" s="17">
        <v>0</v>
      </c>
      <c r="H137" s="17">
        <f t="shared" si="7"/>
        <v>8</v>
      </c>
      <c r="I137" s="33"/>
    </row>
    <row r="138" s="6" customFormat="1" ht="24" customHeight="1" spans="1:9">
      <c r="A138" s="53" t="s">
        <v>317</v>
      </c>
      <c r="B138" s="17">
        <v>2</v>
      </c>
      <c r="C138" s="17">
        <f t="shared" si="6"/>
        <v>0</v>
      </c>
      <c r="D138" s="17">
        <f>VLOOKUP(A138,'6.经费拨款'!$A$7:$C$144,3,0)</f>
        <v>0</v>
      </c>
      <c r="E138" s="17"/>
      <c r="F138" s="17"/>
      <c r="G138" s="17">
        <v>0</v>
      </c>
      <c r="H138" s="17">
        <f t="shared" si="7"/>
        <v>2</v>
      </c>
      <c r="I138" s="33"/>
    </row>
    <row r="139" s="6" customFormat="1" ht="24" customHeight="1" spans="1:9">
      <c r="A139" s="53" t="s">
        <v>318</v>
      </c>
      <c r="B139" s="17">
        <v>12</v>
      </c>
      <c r="C139" s="17">
        <f t="shared" si="6"/>
        <v>0</v>
      </c>
      <c r="D139" s="17">
        <f>VLOOKUP(A139,'6.经费拨款'!$A$7:$C$144,3,0)</f>
        <v>0</v>
      </c>
      <c r="E139" s="17"/>
      <c r="F139" s="17"/>
      <c r="G139" s="17">
        <v>0</v>
      </c>
      <c r="H139" s="17">
        <f t="shared" si="7"/>
        <v>12</v>
      </c>
      <c r="I139" s="33"/>
    </row>
    <row r="140" s="6" customFormat="1" ht="24" customHeight="1" spans="1:9">
      <c r="A140" s="53" t="s">
        <v>319</v>
      </c>
      <c r="B140" s="17">
        <v>2770</v>
      </c>
      <c r="C140" s="17">
        <f t="shared" si="6"/>
        <v>0</v>
      </c>
      <c r="D140" s="17">
        <f>VLOOKUP(A140,'6.经费拨款'!$A$7:$C$144,3,0)</f>
        <v>0</v>
      </c>
      <c r="E140" s="17"/>
      <c r="F140" s="17"/>
      <c r="G140" s="17">
        <v>15</v>
      </c>
      <c r="H140" s="17">
        <f t="shared" si="7"/>
        <v>2785</v>
      </c>
      <c r="I140" s="33"/>
    </row>
    <row r="141" s="6" customFormat="1" ht="24" customHeight="1" spans="1:9">
      <c r="A141" s="53" t="s">
        <v>320</v>
      </c>
      <c r="B141" s="17">
        <v>156</v>
      </c>
      <c r="C141" s="17">
        <f t="shared" si="6"/>
        <v>0</v>
      </c>
      <c r="D141" s="17">
        <f>VLOOKUP(A141,'6.经费拨款'!$A$7:$C$144,3,0)</f>
        <v>0</v>
      </c>
      <c r="E141" s="17"/>
      <c r="F141" s="17"/>
      <c r="G141" s="17">
        <v>0</v>
      </c>
      <c r="H141" s="17">
        <f t="shared" si="7"/>
        <v>156</v>
      </c>
      <c r="I141" s="33"/>
    </row>
    <row r="142" s="6" customFormat="1" ht="24" customHeight="1" spans="1:9">
      <c r="A142" s="53" t="s">
        <v>321</v>
      </c>
      <c r="B142" s="17">
        <v>98</v>
      </c>
      <c r="C142" s="17">
        <f t="shared" si="6"/>
        <v>0</v>
      </c>
      <c r="D142" s="17">
        <f>VLOOKUP(A142,'6.经费拨款'!$A$7:$C$144,3,0)</f>
        <v>0</v>
      </c>
      <c r="E142" s="17"/>
      <c r="F142" s="17"/>
      <c r="G142" s="17">
        <v>0</v>
      </c>
      <c r="H142" s="17">
        <f t="shared" si="7"/>
        <v>98</v>
      </c>
      <c r="I142" s="33"/>
    </row>
    <row r="143" s="6" customFormat="1" ht="24" customHeight="1" spans="1:9">
      <c r="A143" s="53" t="s">
        <v>322</v>
      </c>
      <c r="B143" s="17"/>
      <c r="C143" s="17">
        <f t="shared" si="6"/>
        <v>40</v>
      </c>
      <c r="D143" s="17">
        <f>VLOOKUP(A143,'6.经费拨款'!$A$7:$C$144,3,0)</f>
        <v>40</v>
      </c>
      <c r="E143" s="17"/>
      <c r="F143" s="17"/>
      <c r="G143" s="17">
        <v>0</v>
      </c>
      <c r="H143" s="17">
        <f t="shared" si="7"/>
        <v>40</v>
      </c>
      <c r="I143" s="33" t="s">
        <v>323</v>
      </c>
    </row>
    <row r="144" s="6" customFormat="1" ht="24" customHeight="1" spans="1:9">
      <c r="A144" s="53" t="s">
        <v>324</v>
      </c>
      <c r="B144" s="17">
        <f>SUM(B145:B209)</f>
        <v>50372.46</v>
      </c>
      <c r="C144" s="17">
        <f t="shared" si="6"/>
        <v>8165.762674</v>
      </c>
      <c r="D144" s="17">
        <f>SUM(D145:D209)</f>
        <v>-1972.037326</v>
      </c>
      <c r="E144" s="17">
        <f>SUM(E145:E209)</f>
        <v>6356.8</v>
      </c>
      <c r="F144" s="17">
        <f>3900-119</f>
        <v>3781</v>
      </c>
      <c r="G144" s="17">
        <f>SUM(G145:G209)</f>
        <v>34656</v>
      </c>
      <c r="H144" s="17">
        <f t="shared" si="7"/>
        <v>93194.222674</v>
      </c>
      <c r="I144" s="33"/>
    </row>
    <row r="145" s="6" customFormat="1" ht="24" customHeight="1" spans="1:9">
      <c r="A145" s="53" t="s">
        <v>325</v>
      </c>
      <c r="B145" s="17">
        <v>1200</v>
      </c>
      <c r="C145" s="17">
        <f t="shared" ref="C145:C176" si="8">D145+E145+F145</f>
        <v>0</v>
      </c>
      <c r="D145" s="17">
        <f>VLOOKUP(A145,'6.经费拨款'!$A$145:$C$206,3,0)</f>
        <v>0</v>
      </c>
      <c r="E145" s="17"/>
      <c r="F145" s="17"/>
      <c r="G145" s="17"/>
      <c r="H145" s="17">
        <f t="shared" ref="H145:H176" si="9">B145+C145+G145</f>
        <v>1200</v>
      </c>
      <c r="I145" s="33"/>
    </row>
    <row r="146" s="6" customFormat="1" ht="24" customHeight="1" spans="1:9">
      <c r="A146" s="53" t="s">
        <v>326</v>
      </c>
      <c r="B146" s="17">
        <v>80</v>
      </c>
      <c r="C146" s="17">
        <f t="shared" si="8"/>
        <v>0</v>
      </c>
      <c r="D146" s="17">
        <f>VLOOKUP(A146,'6.经费拨款'!$A$145:$C$206,3,0)</f>
        <v>0</v>
      </c>
      <c r="E146" s="17"/>
      <c r="F146" s="17"/>
      <c r="G146" s="17"/>
      <c r="H146" s="17">
        <f t="shared" si="9"/>
        <v>80</v>
      </c>
      <c r="I146" s="33"/>
    </row>
    <row r="147" s="6" customFormat="1" ht="24" customHeight="1" spans="1:9">
      <c r="A147" s="53" t="s">
        <v>327</v>
      </c>
      <c r="B147" s="17">
        <v>4</v>
      </c>
      <c r="C147" s="17">
        <f t="shared" si="8"/>
        <v>0</v>
      </c>
      <c r="D147" s="17">
        <f>VLOOKUP(A147,'6.经费拨款'!$A$145:$C$206,3,0)</f>
        <v>0</v>
      </c>
      <c r="E147" s="17"/>
      <c r="F147" s="17"/>
      <c r="G147" s="17"/>
      <c r="H147" s="17">
        <f t="shared" si="9"/>
        <v>4</v>
      </c>
      <c r="I147" s="33"/>
    </row>
    <row r="148" s="6" customFormat="1" ht="24" customHeight="1" spans="1:9">
      <c r="A148" s="53" t="s">
        <v>328</v>
      </c>
      <c r="B148" s="17">
        <v>144</v>
      </c>
      <c r="C148" s="17">
        <f t="shared" si="8"/>
        <v>0</v>
      </c>
      <c r="D148" s="17">
        <f>VLOOKUP(A148,'6.经费拨款'!$A$145:$C$206,3,0)</f>
        <v>0</v>
      </c>
      <c r="E148" s="17"/>
      <c r="F148" s="17"/>
      <c r="G148" s="17"/>
      <c r="H148" s="17">
        <f t="shared" si="9"/>
        <v>144</v>
      </c>
      <c r="I148" s="33"/>
    </row>
    <row r="149" s="6" customFormat="1" ht="24" customHeight="1" spans="1:9">
      <c r="A149" s="53" t="s">
        <v>329</v>
      </c>
      <c r="B149" s="17">
        <v>15</v>
      </c>
      <c r="C149" s="17">
        <f t="shared" si="8"/>
        <v>0</v>
      </c>
      <c r="D149" s="17">
        <f>VLOOKUP(A149,'6.经费拨款'!$A$145:$C$206,3,0)</f>
        <v>0</v>
      </c>
      <c r="E149" s="17"/>
      <c r="F149" s="17"/>
      <c r="G149" s="17"/>
      <c r="H149" s="17">
        <f t="shared" si="9"/>
        <v>15</v>
      </c>
      <c r="I149" s="33"/>
    </row>
    <row r="150" s="6" customFormat="1" ht="24" customHeight="1" spans="1:9">
      <c r="A150" s="53" t="s">
        <v>330</v>
      </c>
      <c r="B150" s="17">
        <v>200</v>
      </c>
      <c r="C150" s="17">
        <f t="shared" si="8"/>
        <v>0</v>
      </c>
      <c r="D150" s="17">
        <f>VLOOKUP(A150,'6.经费拨款'!$A$145:$C$206,3,0)</f>
        <v>0</v>
      </c>
      <c r="E150" s="17"/>
      <c r="F150" s="17"/>
      <c r="G150" s="17"/>
      <c r="H150" s="17">
        <f t="shared" si="9"/>
        <v>200</v>
      </c>
      <c r="I150" s="33"/>
    </row>
    <row r="151" s="6" customFormat="1" ht="24" customHeight="1" spans="1:9">
      <c r="A151" s="53" t="s">
        <v>331</v>
      </c>
      <c r="B151" s="17">
        <v>2000</v>
      </c>
      <c r="C151" s="17">
        <f t="shared" si="8"/>
        <v>0</v>
      </c>
      <c r="D151" s="17">
        <f>VLOOKUP(A151,'6.经费拨款'!$A$145:$C$206,3,0)</f>
        <v>0</v>
      </c>
      <c r="E151" s="17"/>
      <c r="F151" s="17"/>
      <c r="G151" s="17"/>
      <c r="H151" s="17">
        <f t="shared" si="9"/>
        <v>2000</v>
      </c>
      <c r="I151" s="33"/>
    </row>
    <row r="152" s="6" customFormat="1" ht="24" customHeight="1" spans="1:9">
      <c r="A152" s="53" t="s">
        <v>332</v>
      </c>
      <c r="B152" s="17">
        <v>3000</v>
      </c>
      <c r="C152" s="17">
        <f t="shared" si="8"/>
        <v>0</v>
      </c>
      <c r="D152" s="17">
        <f>VLOOKUP(A152,'6.经费拨款'!$A$145:$C$206,3,0)</f>
        <v>0</v>
      </c>
      <c r="E152" s="17"/>
      <c r="F152" s="17"/>
      <c r="G152" s="17"/>
      <c r="H152" s="17">
        <f t="shared" si="9"/>
        <v>3000</v>
      </c>
      <c r="I152" s="33"/>
    </row>
    <row r="153" s="6" customFormat="1" ht="24" customHeight="1" spans="1:9">
      <c r="A153" s="53" t="s">
        <v>333</v>
      </c>
      <c r="B153" s="17">
        <v>154</v>
      </c>
      <c r="C153" s="17">
        <f t="shared" si="8"/>
        <v>0</v>
      </c>
      <c r="D153" s="17">
        <f>VLOOKUP(A153,'6.经费拨款'!$A$145:$C$206,3,0)</f>
        <v>0</v>
      </c>
      <c r="E153" s="17"/>
      <c r="F153" s="17"/>
      <c r="G153" s="17"/>
      <c r="H153" s="17">
        <f t="shared" si="9"/>
        <v>154</v>
      </c>
      <c r="I153" s="33"/>
    </row>
    <row r="154" s="6" customFormat="1" ht="24" customHeight="1" spans="1:9">
      <c r="A154" s="53" t="s">
        <v>334</v>
      </c>
      <c r="B154" s="17">
        <v>300</v>
      </c>
      <c r="C154" s="17">
        <f t="shared" si="8"/>
        <v>0</v>
      </c>
      <c r="D154" s="17">
        <f>VLOOKUP(A154,'6.经费拨款'!$A$145:$C$206,3,0)</f>
        <v>0</v>
      </c>
      <c r="E154" s="17"/>
      <c r="F154" s="17"/>
      <c r="G154" s="17"/>
      <c r="H154" s="17">
        <f t="shared" si="9"/>
        <v>300</v>
      </c>
      <c r="I154" s="35"/>
    </row>
    <row r="155" s="6" customFormat="1" ht="24" customHeight="1" spans="1:9">
      <c r="A155" s="53" t="s">
        <v>335</v>
      </c>
      <c r="B155" s="17">
        <v>7248.16</v>
      </c>
      <c r="C155" s="17">
        <f t="shared" si="8"/>
        <v>-842.2235</v>
      </c>
      <c r="D155" s="17">
        <f>VLOOKUP(A155,'6.经费拨款'!$A$145:$C$206,3,0)</f>
        <v>-842.2235</v>
      </c>
      <c r="E155" s="17"/>
      <c r="F155" s="17"/>
      <c r="G155" s="17"/>
      <c r="H155" s="17">
        <f t="shared" si="9"/>
        <v>6405.9365</v>
      </c>
      <c r="I155" s="33"/>
    </row>
    <row r="156" s="6" customFormat="1" ht="24" customHeight="1" spans="1:9">
      <c r="A156" s="53" t="s">
        <v>336</v>
      </c>
      <c r="B156" s="17">
        <v>1000</v>
      </c>
      <c r="C156" s="17">
        <f t="shared" si="8"/>
        <v>0</v>
      </c>
      <c r="D156" s="17">
        <f>VLOOKUP(A156,'6.经费拨款'!$A$145:$C$206,3,0)</f>
        <v>0</v>
      </c>
      <c r="E156" s="17"/>
      <c r="F156" s="17"/>
      <c r="G156" s="17"/>
      <c r="H156" s="17">
        <f t="shared" si="9"/>
        <v>1000</v>
      </c>
      <c r="I156" s="33"/>
    </row>
    <row r="157" s="6" customFormat="1" ht="24" customHeight="1" spans="1:9">
      <c r="A157" s="53" t="s">
        <v>337</v>
      </c>
      <c r="B157" s="17">
        <v>240</v>
      </c>
      <c r="C157" s="17">
        <f t="shared" si="8"/>
        <v>0</v>
      </c>
      <c r="D157" s="17">
        <f>VLOOKUP(A157,'6.经费拨款'!$A$145:$C$206,3,0)</f>
        <v>0</v>
      </c>
      <c r="E157" s="17"/>
      <c r="F157" s="17"/>
      <c r="G157" s="17"/>
      <c r="H157" s="17">
        <f t="shared" si="9"/>
        <v>240</v>
      </c>
      <c r="I157" s="33"/>
    </row>
    <row r="158" s="6" customFormat="1" ht="24" customHeight="1" spans="1:9">
      <c r="A158" s="53" t="s">
        <v>338</v>
      </c>
      <c r="B158" s="17">
        <v>88</v>
      </c>
      <c r="C158" s="17">
        <f t="shared" si="8"/>
        <v>0</v>
      </c>
      <c r="D158" s="17">
        <f>VLOOKUP(A158,'6.经费拨款'!$A$145:$C$206,3,0)</f>
        <v>0</v>
      </c>
      <c r="E158" s="17"/>
      <c r="F158" s="17"/>
      <c r="G158" s="17"/>
      <c r="H158" s="17">
        <f t="shared" si="9"/>
        <v>88</v>
      </c>
      <c r="I158" s="33"/>
    </row>
    <row r="159" s="6" customFormat="1" ht="24" customHeight="1" spans="1:9">
      <c r="A159" s="53" t="s">
        <v>339</v>
      </c>
      <c r="B159" s="17">
        <v>407.12</v>
      </c>
      <c r="C159" s="17">
        <f t="shared" si="8"/>
        <v>0</v>
      </c>
      <c r="D159" s="17">
        <f>VLOOKUP(A159,'6.经费拨款'!$A$145:$C$206,3,0)</f>
        <v>0</v>
      </c>
      <c r="E159" s="17"/>
      <c r="F159" s="17"/>
      <c r="G159" s="17"/>
      <c r="H159" s="17">
        <f t="shared" si="9"/>
        <v>407.12</v>
      </c>
      <c r="I159" s="33"/>
    </row>
    <row r="160" s="6" customFormat="1" ht="24" customHeight="1" spans="1:9">
      <c r="A160" s="53" t="s">
        <v>340</v>
      </c>
      <c r="B160" s="17">
        <v>4700</v>
      </c>
      <c r="C160" s="17">
        <f t="shared" si="8"/>
        <v>-3932.73111</v>
      </c>
      <c r="D160" s="17">
        <f>VLOOKUP(A160,'6.经费拨款'!$A$145:$C$206,3,0)</f>
        <v>-3932.73111</v>
      </c>
      <c r="E160" s="17"/>
      <c r="F160" s="17"/>
      <c r="G160" s="17"/>
      <c r="H160" s="17">
        <f t="shared" si="9"/>
        <v>767.26889</v>
      </c>
      <c r="I160" s="33" t="s">
        <v>341</v>
      </c>
    </row>
    <row r="161" s="6" customFormat="1" ht="24" customHeight="1" spans="1:9">
      <c r="A161" s="53" t="s">
        <v>342</v>
      </c>
      <c r="B161" s="17">
        <v>28</v>
      </c>
      <c r="C161" s="17">
        <f t="shared" si="8"/>
        <v>0</v>
      </c>
      <c r="D161" s="17">
        <f>VLOOKUP(A161,'6.经费拨款'!$A$145:$C$206,3,0)</f>
        <v>0</v>
      </c>
      <c r="E161" s="17"/>
      <c r="F161" s="17"/>
      <c r="G161" s="17"/>
      <c r="H161" s="17">
        <f t="shared" si="9"/>
        <v>28</v>
      </c>
      <c r="I161" s="33"/>
    </row>
    <row r="162" s="6" customFormat="1" ht="24" customHeight="1" spans="1:9">
      <c r="A162" s="16" t="s">
        <v>343</v>
      </c>
      <c r="B162" s="17">
        <v>144</v>
      </c>
      <c r="C162" s="17">
        <f t="shared" si="8"/>
        <v>77.68</v>
      </c>
      <c r="D162" s="17">
        <f>VLOOKUP(A162,'6.经费拨款'!$A$145:$C$206,3,0)</f>
        <v>77.68</v>
      </c>
      <c r="E162" s="17"/>
      <c r="F162" s="17"/>
      <c r="G162" s="17"/>
      <c r="H162" s="17">
        <f t="shared" si="9"/>
        <v>221.68</v>
      </c>
      <c r="I162" s="33"/>
    </row>
    <row r="163" s="6" customFormat="1" ht="24" customHeight="1" spans="1:9">
      <c r="A163" s="16" t="s">
        <v>344</v>
      </c>
      <c r="B163" s="17">
        <v>200</v>
      </c>
      <c r="C163" s="17">
        <f t="shared" si="8"/>
        <v>0</v>
      </c>
      <c r="D163" s="17">
        <f>VLOOKUP(A163,'6.经费拨款'!$A$145:$C$206,3,0)</f>
        <v>0</v>
      </c>
      <c r="E163" s="17"/>
      <c r="F163" s="17"/>
      <c r="G163" s="17"/>
      <c r="H163" s="17">
        <f t="shared" si="9"/>
        <v>200</v>
      </c>
      <c r="I163" s="33"/>
    </row>
    <row r="164" s="6" customFormat="1" ht="24" customHeight="1" spans="1:9">
      <c r="A164" s="16" t="s">
        <v>345</v>
      </c>
      <c r="B164" s="17">
        <v>50</v>
      </c>
      <c r="C164" s="17">
        <f t="shared" si="8"/>
        <v>0</v>
      </c>
      <c r="D164" s="17">
        <f>VLOOKUP(A164,'6.经费拨款'!$A$145:$C$206,3,0)</f>
        <v>0</v>
      </c>
      <c r="E164" s="17"/>
      <c r="F164" s="17"/>
      <c r="G164" s="17"/>
      <c r="H164" s="17">
        <f t="shared" si="9"/>
        <v>50</v>
      </c>
      <c r="I164" s="33"/>
    </row>
    <row r="165" s="6" customFormat="1" ht="24" customHeight="1" spans="1:9">
      <c r="A165" s="16" t="s">
        <v>346</v>
      </c>
      <c r="B165" s="17">
        <v>240</v>
      </c>
      <c r="C165" s="17">
        <f t="shared" si="8"/>
        <v>489</v>
      </c>
      <c r="D165" s="17">
        <f>VLOOKUP(A165,'6.经费拨款'!$A$145:$C$206,3,0)</f>
        <v>489</v>
      </c>
      <c r="E165" s="17"/>
      <c r="F165" s="17"/>
      <c r="G165" s="17"/>
      <c r="H165" s="17">
        <f t="shared" si="9"/>
        <v>729</v>
      </c>
      <c r="I165" s="33"/>
    </row>
    <row r="166" ht="24" customHeight="1" spans="1:9">
      <c r="A166" s="16" t="s">
        <v>347</v>
      </c>
      <c r="B166" s="17">
        <v>800</v>
      </c>
      <c r="C166" s="17">
        <f t="shared" si="8"/>
        <v>-300</v>
      </c>
      <c r="D166" s="17">
        <f>VLOOKUP(A166,'6.经费拨款'!$A$145:$C$206,3,0)</f>
        <v>-800</v>
      </c>
      <c r="E166" s="17"/>
      <c r="F166" s="17">
        <v>500</v>
      </c>
      <c r="G166" s="17"/>
      <c r="H166" s="17">
        <f t="shared" si="9"/>
        <v>500</v>
      </c>
      <c r="I166" s="33" t="s">
        <v>348</v>
      </c>
    </row>
    <row r="167" s="6" customFormat="1" ht="24" customHeight="1" spans="1:9">
      <c r="A167" s="16" t="s">
        <v>349</v>
      </c>
      <c r="B167" s="17">
        <v>150</v>
      </c>
      <c r="C167" s="17">
        <f t="shared" si="8"/>
        <v>0</v>
      </c>
      <c r="D167" s="17">
        <f>VLOOKUP(A167,'6.经费拨款'!$A$145:$C$206,3,0)</f>
        <v>0</v>
      </c>
      <c r="E167" s="17"/>
      <c r="F167" s="17"/>
      <c r="G167" s="17"/>
      <c r="H167" s="17">
        <f t="shared" si="9"/>
        <v>150</v>
      </c>
      <c r="I167" s="33"/>
    </row>
    <row r="168" s="6" customFormat="1" ht="24" customHeight="1" spans="1:9">
      <c r="A168" s="16" t="s">
        <v>350</v>
      </c>
      <c r="B168" s="17">
        <v>410</v>
      </c>
      <c r="C168" s="17">
        <f t="shared" si="8"/>
        <v>0</v>
      </c>
      <c r="D168" s="17">
        <f>VLOOKUP(A168,'6.经费拨款'!$A$145:$C$206,3,0)</f>
        <v>0</v>
      </c>
      <c r="E168" s="17"/>
      <c r="F168" s="17"/>
      <c r="G168" s="17"/>
      <c r="H168" s="17">
        <f t="shared" si="9"/>
        <v>410</v>
      </c>
      <c r="I168" s="35"/>
    </row>
    <row r="169" s="6" customFormat="1" ht="24" customHeight="1" spans="1:9">
      <c r="A169" s="16" t="s">
        <v>351</v>
      </c>
      <c r="B169" s="17">
        <v>35</v>
      </c>
      <c r="C169" s="17">
        <f t="shared" si="8"/>
        <v>0</v>
      </c>
      <c r="D169" s="17">
        <f>VLOOKUP(A169,'6.经费拨款'!$A$145:$C$206,3,0)</f>
        <v>0</v>
      </c>
      <c r="E169" s="17"/>
      <c r="F169" s="17"/>
      <c r="G169" s="17"/>
      <c r="H169" s="17">
        <f t="shared" si="9"/>
        <v>35</v>
      </c>
      <c r="I169" s="33"/>
    </row>
    <row r="170" s="6" customFormat="1" ht="24" customHeight="1" spans="1:9">
      <c r="A170" s="16" t="s">
        <v>352</v>
      </c>
      <c r="B170" s="17">
        <v>723.36</v>
      </c>
      <c r="C170" s="17">
        <f t="shared" si="8"/>
        <v>400</v>
      </c>
      <c r="D170" s="17">
        <f>VLOOKUP(A170,'6.经费拨款'!$A$145:$C$206,3,0)</f>
        <v>400</v>
      </c>
      <c r="E170" s="17"/>
      <c r="F170" s="17"/>
      <c r="G170" s="17"/>
      <c r="H170" s="17">
        <f t="shared" si="9"/>
        <v>1123.36</v>
      </c>
      <c r="I170" s="33"/>
    </row>
    <row r="171" s="6" customFormat="1" ht="24" customHeight="1" spans="1:9">
      <c r="A171" s="16" t="s">
        <v>353</v>
      </c>
      <c r="B171" s="17">
        <v>200</v>
      </c>
      <c r="C171" s="17">
        <f t="shared" si="8"/>
        <v>0</v>
      </c>
      <c r="D171" s="17">
        <f>VLOOKUP(A171,'6.经费拨款'!$A$145:$C$206,3,0)</f>
        <v>0</v>
      </c>
      <c r="E171" s="17"/>
      <c r="F171" s="17"/>
      <c r="G171" s="17"/>
      <c r="H171" s="17">
        <f t="shared" si="9"/>
        <v>200</v>
      </c>
      <c r="I171" s="40"/>
    </row>
    <row r="172" s="6" customFormat="1" ht="24" customHeight="1" spans="1:9">
      <c r="A172" s="16" t="s">
        <v>354</v>
      </c>
      <c r="B172" s="17">
        <v>225.82</v>
      </c>
      <c r="C172" s="17">
        <f t="shared" si="8"/>
        <v>0</v>
      </c>
      <c r="D172" s="17">
        <f>VLOOKUP(A172,'6.经费拨款'!$A$145:$C$206,3,0)</f>
        <v>0</v>
      </c>
      <c r="E172" s="17"/>
      <c r="F172" s="17"/>
      <c r="G172" s="17"/>
      <c r="H172" s="17">
        <f t="shared" si="9"/>
        <v>225.82</v>
      </c>
      <c r="I172" s="33"/>
    </row>
    <row r="173" s="6" customFormat="1" ht="24" customHeight="1" spans="1:9">
      <c r="A173" s="16" t="s">
        <v>355</v>
      </c>
      <c r="B173" s="17">
        <v>80</v>
      </c>
      <c r="C173" s="17">
        <f t="shared" si="8"/>
        <v>0</v>
      </c>
      <c r="D173" s="17">
        <f>VLOOKUP(A173,'6.经费拨款'!$A$145:$C$206,3,0)</f>
        <v>0</v>
      </c>
      <c r="E173" s="17"/>
      <c r="F173" s="17"/>
      <c r="G173" s="17"/>
      <c r="H173" s="17">
        <f t="shared" si="9"/>
        <v>80</v>
      </c>
      <c r="I173" s="40"/>
    </row>
    <row r="174" s="6" customFormat="1" ht="24" customHeight="1" spans="1:9">
      <c r="A174" s="16" t="s">
        <v>356</v>
      </c>
      <c r="B174" s="17">
        <v>25</v>
      </c>
      <c r="C174" s="17">
        <f t="shared" si="8"/>
        <v>5.734999</v>
      </c>
      <c r="D174" s="17">
        <f>VLOOKUP(A174,'6.经费拨款'!$A$145:$C$206,3,0)</f>
        <v>5.734999</v>
      </c>
      <c r="E174" s="17"/>
      <c r="F174" s="17"/>
      <c r="G174" s="17"/>
      <c r="H174" s="17">
        <f t="shared" si="9"/>
        <v>30.734999</v>
      </c>
      <c r="I174" s="40"/>
    </row>
    <row r="175" s="6" customFormat="1" ht="24" customHeight="1" spans="1:9">
      <c r="A175" s="16" t="s">
        <v>357</v>
      </c>
      <c r="B175" s="17">
        <v>44</v>
      </c>
      <c r="C175" s="17">
        <f t="shared" si="8"/>
        <v>0</v>
      </c>
      <c r="D175" s="17">
        <f>VLOOKUP(A175,'6.经费拨款'!$A$145:$C$206,3,0)</f>
        <v>0</v>
      </c>
      <c r="E175" s="17"/>
      <c r="F175" s="17"/>
      <c r="G175" s="17"/>
      <c r="H175" s="17">
        <f t="shared" si="9"/>
        <v>44</v>
      </c>
      <c r="I175" s="33"/>
    </row>
    <row r="176" s="6" customFormat="1" ht="24" customHeight="1" spans="1:9">
      <c r="A176" s="16" t="s">
        <v>358</v>
      </c>
      <c r="B176" s="17">
        <v>45</v>
      </c>
      <c r="C176" s="17">
        <f t="shared" si="8"/>
        <v>0</v>
      </c>
      <c r="D176" s="17">
        <f>VLOOKUP(A176,'6.经费拨款'!$A$145:$C$206,3,0)</f>
        <v>0</v>
      </c>
      <c r="E176" s="17"/>
      <c r="F176" s="17"/>
      <c r="G176" s="17"/>
      <c r="H176" s="17">
        <f t="shared" si="9"/>
        <v>45</v>
      </c>
      <c r="I176" s="33"/>
    </row>
    <row r="177" s="6" customFormat="1" ht="24" customHeight="1" spans="1:9">
      <c r="A177" s="16" t="s">
        <v>359</v>
      </c>
      <c r="B177" s="17">
        <v>350</v>
      </c>
      <c r="C177" s="17">
        <f t="shared" ref="C177:C209" si="10">D177+E177+F177</f>
        <v>0</v>
      </c>
      <c r="D177" s="17">
        <f>VLOOKUP(A177,'6.经费拨款'!$A$145:$C$206,3,0)</f>
        <v>0</v>
      </c>
      <c r="E177" s="17"/>
      <c r="F177" s="17"/>
      <c r="G177" s="17"/>
      <c r="H177" s="17">
        <f t="shared" ref="H177:H209" si="11">B177+C177+G177</f>
        <v>350</v>
      </c>
      <c r="I177" s="33"/>
    </row>
    <row r="178" s="6" customFormat="1" ht="24" customHeight="1" spans="1:9">
      <c r="A178" s="16" t="s">
        <v>360</v>
      </c>
      <c r="B178" s="17">
        <v>58</v>
      </c>
      <c r="C178" s="17">
        <f t="shared" si="10"/>
        <v>0</v>
      </c>
      <c r="D178" s="17">
        <f>VLOOKUP(A178,'6.经费拨款'!$A$145:$C$206,3,0)</f>
        <v>0</v>
      </c>
      <c r="E178" s="17"/>
      <c r="F178" s="17"/>
      <c r="G178" s="17"/>
      <c r="H178" s="17">
        <f t="shared" si="11"/>
        <v>58</v>
      </c>
      <c r="I178" s="18"/>
    </row>
    <row r="179" s="6" customFormat="1" ht="24" customHeight="1" spans="1:9">
      <c r="A179" s="16" t="s">
        <v>361</v>
      </c>
      <c r="B179" s="17">
        <v>50</v>
      </c>
      <c r="C179" s="17">
        <f t="shared" si="10"/>
        <v>13.8</v>
      </c>
      <c r="D179" s="17">
        <f>VLOOKUP(A179,'6.经费拨款'!$A$145:$C$206,3,0)</f>
        <v>13.8</v>
      </c>
      <c r="E179" s="17"/>
      <c r="F179" s="17"/>
      <c r="G179" s="17"/>
      <c r="H179" s="17">
        <f t="shared" si="11"/>
        <v>63.8</v>
      </c>
      <c r="I179" s="40"/>
    </row>
    <row r="180" s="6" customFormat="1" ht="24" customHeight="1" spans="1:9">
      <c r="A180" s="16" t="s">
        <v>362</v>
      </c>
      <c r="B180" s="17">
        <v>120</v>
      </c>
      <c r="C180" s="17">
        <f t="shared" si="10"/>
        <v>0</v>
      </c>
      <c r="D180" s="17">
        <f>VLOOKUP(A180,'6.经费拨款'!$A$145:$C$206,3,0)</f>
        <v>0</v>
      </c>
      <c r="E180" s="17"/>
      <c r="F180" s="17"/>
      <c r="G180" s="17"/>
      <c r="H180" s="17">
        <f t="shared" si="11"/>
        <v>120</v>
      </c>
      <c r="I180" s="33"/>
    </row>
    <row r="181" s="6" customFormat="1" ht="24" customHeight="1" spans="1:9">
      <c r="A181" s="16" t="s">
        <v>363</v>
      </c>
      <c r="B181" s="17">
        <v>595</v>
      </c>
      <c r="C181" s="17">
        <f t="shared" si="10"/>
        <v>0</v>
      </c>
      <c r="D181" s="17">
        <f>VLOOKUP(A181,'6.经费拨款'!$A$145:$C$206,3,0)</f>
        <v>0</v>
      </c>
      <c r="E181" s="17"/>
      <c r="F181" s="17"/>
      <c r="G181" s="17"/>
      <c r="H181" s="17">
        <f t="shared" si="11"/>
        <v>595</v>
      </c>
      <c r="I181" s="18"/>
    </row>
    <row r="182" s="6" customFormat="1" ht="24" customHeight="1" spans="1:9">
      <c r="A182" s="16" t="s">
        <v>364</v>
      </c>
      <c r="B182" s="17">
        <v>1100</v>
      </c>
      <c r="C182" s="17">
        <f t="shared" si="10"/>
        <v>0</v>
      </c>
      <c r="D182" s="17">
        <f>VLOOKUP(A182,'6.经费拨款'!$A$145:$C$206,3,0)</f>
        <v>0</v>
      </c>
      <c r="E182" s="17"/>
      <c r="F182" s="17"/>
      <c r="G182" s="17"/>
      <c r="H182" s="17">
        <f t="shared" si="11"/>
        <v>1100</v>
      </c>
      <c r="I182" s="33"/>
    </row>
    <row r="183" s="6" customFormat="1" ht="24" customHeight="1" spans="1:9">
      <c r="A183" s="16" t="s">
        <v>365</v>
      </c>
      <c r="B183" s="17">
        <v>70</v>
      </c>
      <c r="C183" s="17">
        <f t="shared" si="10"/>
        <v>0</v>
      </c>
      <c r="D183" s="17">
        <f>VLOOKUP(A183,'6.经费拨款'!$A$145:$C$206,3,0)</f>
        <v>0</v>
      </c>
      <c r="E183" s="17"/>
      <c r="F183" s="17"/>
      <c r="G183" s="17"/>
      <c r="H183" s="17">
        <f t="shared" si="11"/>
        <v>70</v>
      </c>
      <c r="I183" s="40"/>
    </row>
    <row r="184" s="6" customFormat="1" ht="24" customHeight="1" spans="1:9">
      <c r="A184" s="16" t="s">
        <v>366</v>
      </c>
      <c r="B184" s="17">
        <v>30</v>
      </c>
      <c r="C184" s="17">
        <f t="shared" si="10"/>
        <v>0</v>
      </c>
      <c r="D184" s="17">
        <f>VLOOKUP(A184,'6.经费拨款'!$A$145:$C$206,3,0)</f>
        <v>0</v>
      </c>
      <c r="E184" s="17"/>
      <c r="F184" s="17"/>
      <c r="G184" s="17"/>
      <c r="H184" s="17">
        <f t="shared" si="11"/>
        <v>30</v>
      </c>
      <c r="I184" s="33"/>
    </row>
    <row r="185" s="6" customFormat="1" ht="24" customHeight="1" spans="1:9">
      <c r="A185" s="16" t="s">
        <v>367</v>
      </c>
      <c r="B185" s="17">
        <v>60</v>
      </c>
      <c r="C185" s="17">
        <f t="shared" si="10"/>
        <v>0</v>
      </c>
      <c r="D185" s="17">
        <f>VLOOKUP(A185,'6.经费拨款'!$A$145:$C$206,3,0)</f>
        <v>0</v>
      </c>
      <c r="E185" s="17"/>
      <c r="F185" s="17"/>
      <c r="G185" s="17"/>
      <c r="H185" s="17">
        <f t="shared" si="11"/>
        <v>60</v>
      </c>
      <c r="I185" s="33"/>
    </row>
    <row r="186" s="6" customFormat="1" ht="24" customHeight="1" spans="1:9">
      <c r="A186" s="16" t="s">
        <v>368</v>
      </c>
      <c r="B186" s="17">
        <v>6000</v>
      </c>
      <c r="C186" s="17">
        <f t="shared" si="10"/>
        <v>-2000</v>
      </c>
      <c r="D186" s="17">
        <f>VLOOKUP(A186,'6.经费拨款'!$A$145:$C$206,3,0)</f>
        <v>0</v>
      </c>
      <c r="E186" s="17">
        <v>-2000</v>
      </c>
      <c r="F186" s="17"/>
      <c r="G186" s="17"/>
      <c r="H186" s="17">
        <f t="shared" si="11"/>
        <v>4000</v>
      </c>
      <c r="I186" s="18"/>
    </row>
    <row r="187" s="6" customFormat="1" ht="24" customHeight="1" spans="1:9">
      <c r="A187" s="16" t="s">
        <v>369</v>
      </c>
      <c r="B187" s="17">
        <v>43.4</v>
      </c>
      <c r="C187" s="17">
        <f t="shared" si="10"/>
        <v>0</v>
      </c>
      <c r="D187" s="17">
        <f>VLOOKUP(A187,'6.经费拨款'!$A$145:$C$206,3,0)</f>
        <v>0</v>
      </c>
      <c r="E187" s="17"/>
      <c r="F187" s="17"/>
      <c r="G187" s="17"/>
      <c r="H187" s="17">
        <f t="shared" si="11"/>
        <v>43.4</v>
      </c>
      <c r="I187" s="18"/>
    </row>
    <row r="188" s="6" customFormat="1" ht="24" customHeight="1" spans="1:9">
      <c r="A188" s="16" t="s">
        <v>370</v>
      </c>
      <c r="B188" s="17">
        <v>500</v>
      </c>
      <c r="C188" s="17">
        <f t="shared" si="10"/>
        <v>0</v>
      </c>
      <c r="D188" s="17">
        <f>VLOOKUP(A188,'6.经费拨款'!$A$145:$C$206,3,0)</f>
        <v>0</v>
      </c>
      <c r="E188" s="17"/>
      <c r="F188" s="17"/>
      <c r="G188" s="17"/>
      <c r="H188" s="17">
        <f t="shared" si="11"/>
        <v>500</v>
      </c>
      <c r="I188" s="18"/>
    </row>
    <row r="189" s="6" customFormat="1" ht="24" customHeight="1" spans="1:9">
      <c r="A189" s="16" t="s">
        <v>371</v>
      </c>
      <c r="B189" s="17">
        <v>1200</v>
      </c>
      <c r="C189" s="17">
        <f t="shared" si="10"/>
        <v>0</v>
      </c>
      <c r="D189" s="17">
        <f>VLOOKUP(A189,'6.经费拨款'!$A$145:$C$206,3,0)</f>
        <v>0</v>
      </c>
      <c r="E189" s="17"/>
      <c r="F189" s="17"/>
      <c r="G189" s="17"/>
      <c r="H189" s="17">
        <f t="shared" si="11"/>
        <v>1200</v>
      </c>
      <c r="I189" s="33"/>
    </row>
    <row r="190" s="6" customFormat="1" ht="24" customHeight="1" spans="1:9">
      <c r="A190" s="16" t="s">
        <v>372</v>
      </c>
      <c r="B190" s="17">
        <v>109.2</v>
      </c>
      <c r="C190" s="17">
        <f t="shared" si="10"/>
        <v>0</v>
      </c>
      <c r="D190" s="17">
        <f>VLOOKUP(A190,'6.经费拨款'!$A$145:$C$206,3,0)</f>
        <v>0</v>
      </c>
      <c r="E190" s="17"/>
      <c r="F190" s="17"/>
      <c r="G190" s="17"/>
      <c r="H190" s="17">
        <f t="shared" si="11"/>
        <v>109.2</v>
      </c>
      <c r="I190" s="18"/>
    </row>
    <row r="191" s="6" customFormat="1" ht="24" customHeight="1" spans="1:9">
      <c r="A191" s="16" t="s">
        <v>373</v>
      </c>
      <c r="B191" s="17">
        <v>3</v>
      </c>
      <c r="C191" s="17">
        <f t="shared" si="10"/>
        <v>0</v>
      </c>
      <c r="D191" s="17">
        <f>VLOOKUP(A191,'6.经费拨款'!$A$145:$C$206,3,0)</f>
        <v>0</v>
      </c>
      <c r="E191" s="17"/>
      <c r="F191" s="17"/>
      <c r="G191" s="17"/>
      <c r="H191" s="17">
        <f t="shared" si="11"/>
        <v>3</v>
      </c>
      <c r="I191" s="33"/>
    </row>
    <row r="192" s="6" customFormat="1" ht="24" customHeight="1" spans="1:9">
      <c r="A192" s="16" t="s">
        <v>374</v>
      </c>
      <c r="B192" s="17">
        <v>200</v>
      </c>
      <c r="C192" s="17">
        <f t="shared" si="10"/>
        <v>14.039</v>
      </c>
      <c r="D192" s="17">
        <f>VLOOKUP(A192,'6.经费拨款'!$A$145:$C$206,3,0)</f>
        <v>14.039</v>
      </c>
      <c r="E192" s="17"/>
      <c r="F192" s="17"/>
      <c r="G192" s="17"/>
      <c r="H192" s="17">
        <f t="shared" si="11"/>
        <v>214.039</v>
      </c>
      <c r="I192" s="55"/>
    </row>
    <row r="193" s="6" customFormat="1" ht="24" customHeight="1" spans="1:9">
      <c r="A193" s="16" t="s">
        <v>375</v>
      </c>
      <c r="B193" s="17">
        <v>150</v>
      </c>
      <c r="C193" s="17">
        <f t="shared" si="10"/>
        <v>0</v>
      </c>
      <c r="D193" s="17">
        <f>VLOOKUP(A193,'6.经费拨款'!$A$145:$C$206,3,0)</f>
        <v>0</v>
      </c>
      <c r="E193" s="17"/>
      <c r="F193" s="17"/>
      <c r="G193" s="17"/>
      <c r="H193" s="17">
        <f t="shared" si="11"/>
        <v>150</v>
      </c>
      <c r="I193" s="40"/>
    </row>
    <row r="194" s="6" customFormat="1" ht="24" customHeight="1" spans="1:9">
      <c r="A194" s="16" t="s">
        <v>376</v>
      </c>
      <c r="B194" s="17">
        <v>58</v>
      </c>
      <c r="C194" s="17">
        <f t="shared" si="10"/>
        <v>0</v>
      </c>
      <c r="D194" s="17">
        <f>VLOOKUP(A194,'6.经费拨款'!$A$145:$C$206,3,0)</f>
        <v>0</v>
      </c>
      <c r="E194" s="17"/>
      <c r="F194" s="17"/>
      <c r="G194" s="17"/>
      <c r="H194" s="17">
        <f t="shared" si="11"/>
        <v>58</v>
      </c>
      <c r="I194" s="35"/>
    </row>
    <row r="195" s="6" customFormat="1" ht="24" customHeight="1" spans="1:9">
      <c r="A195" s="16" t="s">
        <v>377</v>
      </c>
      <c r="B195" s="17">
        <v>216</v>
      </c>
      <c r="C195" s="17">
        <f t="shared" si="10"/>
        <v>0</v>
      </c>
      <c r="D195" s="17">
        <f>VLOOKUP(A195,'6.经费拨款'!$A$145:$C$206,3,0)</f>
        <v>0</v>
      </c>
      <c r="E195" s="17"/>
      <c r="F195" s="17"/>
      <c r="G195" s="17"/>
      <c r="H195" s="17">
        <f t="shared" si="11"/>
        <v>216</v>
      </c>
      <c r="I195" s="18"/>
    </row>
    <row r="196" s="6" customFormat="1" ht="24" customHeight="1" spans="1:9">
      <c r="A196" s="16" t="s">
        <v>378</v>
      </c>
      <c r="B196" s="17">
        <v>300</v>
      </c>
      <c r="C196" s="17">
        <f t="shared" si="10"/>
        <v>0</v>
      </c>
      <c r="D196" s="17">
        <f>VLOOKUP(A196,'6.经费拨款'!$A$145:$C$206,3,0)</f>
        <v>0</v>
      </c>
      <c r="E196" s="17"/>
      <c r="F196" s="17"/>
      <c r="G196" s="17"/>
      <c r="H196" s="17">
        <f t="shared" si="11"/>
        <v>300</v>
      </c>
      <c r="I196" s="18"/>
    </row>
    <row r="197" s="6" customFormat="1" ht="24" customHeight="1" spans="1:9">
      <c r="A197" s="16" t="s">
        <v>379</v>
      </c>
      <c r="B197" s="17">
        <v>1985.4</v>
      </c>
      <c r="C197" s="17">
        <f t="shared" si="10"/>
        <v>0</v>
      </c>
      <c r="D197" s="17">
        <f>VLOOKUP(A197,'6.经费拨款'!$A$145:$C$206,3,0)</f>
        <v>0</v>
      </c>
      <c r="E197" s="17"/>
      <c r="F197" s="17"/>
      <c r="G197" s="17"/>
      <c r="H197" s="17">
        <f t="shared" si="11"/>
        <v>1985.4</v>
      </c>
      <c r="I197" s="33"/>
    </row>
    <row r="198" s="6" customFormat="1" ht="24" customHeight="1" spans="1:9">
      <c r="A198" s="16" t="s">
        <v>380</v>
      </c>
      <c r="B198" s="17">
        <v>15</v>
      </c>
      <c r="C198" s="17">
        <f t="shared" si="10"/>
        <v>0</v>
      </c>
      <c r="D198" s="17">
        <f>VLOOKUP(A198,'6.经费拨款'!$A$145:$C$206,3,0)</f>
        <v>0</v>
      </c>
      <c r="E198" s="17"/>
      <c r="F198" s="17"/>
      <c r="G198" s="17"/>
      <c r="H198" s="17">
        <f t="shared" si="11"/>
        <v>15</v>
      </c>
      <c r="I198" s="33"/>
    </row>
    <row r="199" s="6" customFormat="1" ht="24" customHeight="1" spans="1:9">
      <c r="A199" s="16" t="s">
        <v>381</v>
      </c>
      <c r="B199" s="17">
        <v>136</v>
      </c>
      <c r="C199" s="17">
        <f t="shared" si="10"/>
        <v>0</v>
      </c>
      <c r="D199" s="17">
        <f>VLOOKUP(A199,'6.经费拨款'!$A$145:$C$206,3,0)</f>
        <v>0</v>
      </c>
      <c r="E199" s="17"/>
      <c r="F199" s="17"/>
      <c r="G199" s="17"/>
      <c r="H199" s="17">
        <f t="shared" si="11"/>
        <v>136</v>
      </c>
      <c r="I199" s="33"/>
    </row>
    <row r="200" s="6" customFormat="1" ht="24" customHeight="1" spans="1:9">
      <c r="A200" s="16" t="s">
        <v>382</v>
      </c>
      <c r="B200" s="17">
        <v>2874</v>
      </c>
      <c r="C200" s="17">
        <f t="shared" si="10"/>
        <v>-1678.996715</v>
      </c>
      <c r="D200" s="17">
        <f>VLOOKUP(A200,'6.经费拨款'!$A$145:$C$206,3,0)</f>
        <v>-1678.996715</v>
      </c>
      <c r="E200" s="17"/>
      <c r="F200" s="17"/>
      <c r="G200" s="17"/>
      <c r="H200" s="17">
        <f t="shared" si="11"/>
        <v>1195.003285</v>
      </c>
      <c r="I200" s="33" t="s">
        <v>383</v>
      </c>
    </row>
    <row r="201" s="6" customFormat="1" ht="24" customHeight="1" spans="1:9">
      <c r="A201" s="16" t="s">
        <v>384</v>
      </c>
      <c r="B201" s="17">
        <v>990</v>
      </c>
      <c r="C201" s="17">
        <f t="shared" si="10"/>
        <v>0</v>
      </c>
      <c r="D201" s="17">
        <f>VLOOKUP(A201,'6.经费拨款'!$A$145:$C$206,3,0)</f>
        <v>0</v>
      </c>
      <c r="E201" s="17"/>
      <c r="F201" s="17"/>
      <c r="G201" s="17"/>
      <c r="H201" s="17">
        <f t="shared" si="11"/>
        <v>990</v>
      </c>
      <c r="I201" s="33"/>
    </row>
    <row r="202" s="6" customFormat="1" ht="24" customHeight="1" spans="1:9">
      <c r="A202" s="16" t="s">
        <v>385</v>
      </c>
      <c r="B202" s="17">
        <v>602</v>
      </c>
      <c r="C202" s="17">
        <f t="shared" si="10"/>
        <v>-602</v>
      </c>
      <c r="D202" s="17">
        <f>VLOOKUP(A202,'6.经费拨款'!$A$145:$C$206,3,0)</f>
        <v>-602</v>
      </c>
      <c r="E202" s="17"/>
      <c r="F202" s="17"/>
      <c r="G202" s="17"/>
      <c r="H202" s="17">
        <f t="shared" si="11"/>
        <v>0</v>
      </c>
      <c r="I202" s="33" t="s">
        <v>386</v>
      </c>
    </row>
    <row r="203" s="6" customFormat="1" ht="24" customHeight="1" spans="1:9">
      <c r="A203" s="16" t="s">
        <v>387</v>
      </c>
      <c r="B203" s="17">
        <v>45</v>
      </c>
      <c r="C203" s="17">
        <f t="shared" si="10"/>
        <v>0</v>
      </c>
      <c r="D203" s="17">
        <f>VLOOKUP(A203,'6.经费拨款'!$A$145:$C$206,3,0)</f>
        <v>0</v>
      </c>
      <c r="E203" s="17"/>
      <c r="F203" s="17"/>
      <c r="G203" s="17"/>
      <c r="H203" s="17">
        <f t="shared" si="11"/>
        <v>45</v>
      </c>
      <c r="I203" s="33"/>
    </row>
    <row r="204" s="6" customFormat="1" ht="24" customHeight="1" spans="1:9">
      <c r="A204" s="16" t="s">
        <v>388</v>
      </c>
      <c r="B204" s="17">
        <v>100</v>
      </c>
      <c r="C204" s="17">
        <f t="shared" si="10"/>
        <v>0</v>
      </c>
      <c r="D204" s="17">
        <f>VLOOKUP(A204,'6.经费拨款'!$A$145:$C$206,3,0)</f>
        <v>0</v>
      </c>
      <c r="E204" s="17"/>
      <c r="F204" s="17"/>
      <c r="G204" s="17"/>
      <c r="H204" s="17">
        <f t="shared" si="11"/>
        <v>100</v>
      </c>
      <c r="I204" s="33"/>
    </row>
    <row r="205" s="6" customFormat="1" ht="24" customHeight="1" spans="1:9">
      <c r="A205" s="16" t="s">
        <v>389</v>
      </c>
      <c r="B205" s="17">
        <v>5202</v>
      </c>
      <c r="C205" s="17">
        <f t="shared" si="10"/>
        <v>0</v>
      </c>
      <c r="D205" s="17">
        <f>VLOOKUP(A205,'6.经费拨款'!$A$145:$C$206,3,0)</f>
        <v>0</v>
      </c>
      <c r="E205" s="17"/>
      <c r="F205" s="17"/>
      <c r="G205" s="17"/>
      <c r="H205" s="17">
        <f t="shared" si="11"/>
        <v>5202</v>
      </c>
      <c r="I205" s="33"/>
    </row>
    <row r="206" s="6" customFormat="1" ht="24" customHeight="1" spans="1:9">
      <c r="A206" s="16" t="s">
        <v>390</v>
      </c>
      <c r="B206" s="17">
        <v>3030</v>
      </c>
      <c r="C206" s="17">
        <f t="shared" si="10"/>
        <v>0</v>
      </c>
      <c r="D206" s="17">
        <f>VLOOKUP(A206,'6.经费拨款'!$A$145:$C$206,3,0)</f>
        <v>0</v>
      </c>
      <c r="E206" s="17"/>
      <c r="F206" s="17"/>
      <c r="G206" s="17"/>
      <c r="H206" s="17">
        <f t="shared" si="11"/>
        <v>3030</v>
      </c>
      <c r="I206" s="33"/>
    </row>
    <row r="207" s="6" customFormat="1" ht="24" customHeight="1" spans="1:9">
      <c r="A207" s="16" t="s">
        <v>72</v>
      </c>
      <c r="B207" s="17"/>
      <c r="C207" s="17">
        <f t="shared" si="10"/>
        <v>3000</v>
      </c>
      <c r="D207" s="17"/>
      <c r="E207" s="17">
        <v>1073</v>
      </c>
      <c r="F207" s="17">
        <v>1927</v>
      </c>
      <c r="G207" s="17"/>
      <c r="H207" s="17">
        <f t="shared" si="11"/>
        <v>3000</v>
      </c>
      <c r="I207" s="33"/>
    </row>
    <row r="208" s="6" customFormat="1" ht="48" customHeight="1" spans="1:9">
      <c r="A208" s="16" t="s">
        <v>391</v>
      </c>
      <c r="B208" s="17"/>
      <c r="C208" s="17">
        <f t="shared" si="10"/>
        <v>13521.46</v>
      </c>
      <c r="D208" s="17">
        <f>VLOOKUP(A208,'6.经费拨款'!$A$145:$C$207,3,0)</f>
        <v>4883.66</v>
      </c>
      <c r="E208" s="17">
        <f>6283.8+1000</f>
        <v>7283.8</v>
      </c>
      <c r="F208" s="17">
        <f>1854-500</f>
        <v>1354</v>
      </c>
      <c r="G208" s="17"/>
      <c r="H208" s="17">
        <f t="shared" si="11"/>
        <v>13521.46</v>
      </c>
      <c r="I208" s="33" t="s">
        <v>392</v>
      </c>
    </row>
    <row r="209" s="6" customFormat="1" ht="24" customHeight="1" spans="1:9">
      <c r="A209" s="16" t="s">
        <v>393</v>
      </c>
      <c r="B209" s="17"/>
      <c r="C209" s="17">
        <f t="shared" si="10"/>
        <v>0</v>
      </c>
      <c r="D209" s="17"/>
      <c r="E209" s="17"/>
      <c r="F209" s="17"/>
      <c r="G209" s="17">
        <v>34656</v>
      </c>
      <c r="H209" s="17">
        <f t="shared" si="11"/>
        <v>34656</v>
      </c>
      <c r="I209" s="16"/>
    </row>
  </sheetData>
  <autoFilter xmlns:etc="http://www.wps.cn/officeDocument/2017/etCustomData" ref="A4:XFA209" etc:filterBottomFollowUsedRange="0">
    <extLst/>
  </autoFilter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7"/>
  <sheetViews>
    <sheetView showZeros="0" view="pageBreakPreview" zoomScaleNormal="100" workbookViewId="0">
      <pane xSplit="1" ySplit="6" topLeftCell="B8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1.25"/>
  <cols>
    <col min="1" max="1" width="24.75" style="6" customWidth="1"/>
    <col min="2" max="2" width="9.375" style="11" customWidth="1"/>
    <col min="3" max="5" width="8.625" style="11" customWidth="1"/>
    <col min="6" max="6" width="9.5" style="11" customWidth="1"/>
    <col min="7" max="7" width="66.625" style="4" customWidth="1"/>
    <col min="8" max="9" width="9" style="6" hidden="1" customWidth="1"/>
    <col min="10" max="16380" width="9" style="6"/>
    <col min="16381" max="16384" width="9" style="20"/>
  </cols>
  <sheetData>
    <row r="1" s="19" customFormat="1" ht="27" customHeight="1" spans="1:16384">
      <c r="A1" s="21" t="s">
        <v>394</v>
      </c>
      <c r="B1" s="22"/>
      <c r="C1" s="22"/>
      <c r="D1" s="22"/>
      <c r="E1" s="22"/>
      <c r="F1" s="22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36"/>
      <c r="XFB1" s="36"/>
      <c r="XFC1" s="36"/>
      <c r="XFD1" s="36"/>
    </row>
    <row r="2" s="6" customFormat="1" ht="15" customHeight="1" spans="1:7">
      <c r="A2" s="24"/>
      <c r="B2" s="11"/>
      <c r="C2" s="11"/>
      <c r="D2" s="11"/>
      <c r="E2" s="11"/>
      <c r="F2" s="11"/>
      <c r="G2" s="25" t="s">
        <v>395</v>
      </c>
    </row>
    <row r="3" s="6" customFormat="1" ht="23.5" customHeight="1" spans="1:7">
      <c r="A3" s="26" t="s">
        <v>396</v>
      </c>
      <c r="B3" s="27" t="s">
        <v>8</v>
      </c>
      <c r="C3" s="27" t="s">
        <v>155</v>
      </c>
      <c r="D3" s="27"/>
      <c r="E3" s="27"/>
      <c r="F3" s="28" t="s">
        <v>397</v>
      </c>
      <c r="G3" s="27" t="s">
        <v>157</v>
      </c>
    </row>
    <row r="4" s="6" customFormat="1" ht="23.5" customHeight="1" spans="1:9">
      <c r="A4" s="26"/>
      <c r="B4" s="27"/>
      <c r="C4" s="27" t="s">
        <v>398</v>
      </c>
      <c r="D4" s="27" t="s">
        <v>399</v>
      </c>
      <c r="E4" s="27" t="s">
        <v>400</v>
      </c>
      <c r="F4" s="29"/>
      <c r="G4" s="27"/>
      <c r="H4" s="6">
        <f>SUM(H6:H198)</f>
        <v>3949.21</v>
      </c>
      <c r="I4" s="6">
        <f>SUM(I6:I198)</f>
        <v>4231.25</v>
      </c>
    </row>
    <row r="5" s="6" customFormat="1" ht="23.5" customHeight="1" spans="1:7">
      <c r="A5" s="26" t="s">
        <v>117</v>
      </c>
      <c r="B5" s="30">
        <v>1</v>
      </c>
      <c r="C5" s="30" t="s">
        <v>401</v>
      </c>
      <c r="D5" s="30" t="s">
        <v>402</v>
      </c>
      <c r="E5" s="30" t="s">
        <v>403</v>
      </c>
      <c r="F5" s="30">
        <v>5</v>
      </c>
      <c r="G5" s="27"/>
    </row>
    <row r="6" s="6" customFormat="1" ht="23.5" customHeight="1" spans="1:7">
      <c r="A6" s="31" t="s">
        <v>404</v>
      </c>
      <c r="B6" s="32">
        <f>SUM(B7:B144)</f>
        <v>165969.004616</v>
      </c>
      <c r="C6" s="32">
        <f>SUM(C7:C144)</f>
        <v>7508.104596</v>
      </c>
      <c r="D6" s="32">
        <f>SUM(D7:D144)</f>
        <v>0</v>
      </c>
      <c r="E6" s="32">
        <f>SUM(E7:E144)</f>
        <v>7508.104596</v>
      </c>
      <c r="F6" s="32">
        <f t="shared" ref="F6:F69" si="0">B6+C6</f>
        <v>173477.109212</v>
      </c>
      <c r="G6" s="33"/>
    </row>
    <row r="7" s="6" customFormat="1" ht="23.5" customHeight="1" spans="1:7">
      <c r="A7" s="16" t="s">
        <v>163</v>
      </c>
      <c r="B7" s="17">
        <v>632.964669</v>
      </c>
      <c r="C7" s="34">
        <f t="shared" ref="C7:C70" si="1">D7+E7</f>
        <v>48.7215</v>
      </c>
      <c r="D7" s="17">
        <v>48.7215</v>
      </c>
      <c r="E7" s="34"/>
      <c r="F7" s="34">
        <f t="shared" si="0"/>
        <v>681.686169</v>
      </c>
      <c r="G7" s="33"/>
    </row>
    <row r="8" s="6" customFormat="1" ht="23.5" customHeight="1" spans="1:7">
      <c r="A8" s="16" t="s">
        <v>164</v>
      </c>
      <c r="B8" s="17">
        <v>971.119565</v>
      </c>
      <c r="C8" s="34">
        <f t="shared" si="1"/>
        <v>75.821825</v>
      </c>
      <c r="D8" s="17">
        <v>40.821825</v>
      </c>
      <c r="E8" s="34">
        <v>35</v>
      </c>
      <c r="F8" s="34">
        <f t="shared" si="0"/>
        <v>1046.94139</v>
      </c>
      <c r="G8" s="33" t="s">
        <v>165</v>
      </c>
    </row>
    <row r="9" s="6" customFormat="1" ht="23.5" customHeight="1" spans="1:8">
      <c r="A9" s="16" t="s">
        <v>166</v>
      </c>
      <c r="B9" s="17">
        <v>1006.311262</v>
      </c>
      <c r="C9" s="34">
        <f t="shared" si="1"/>
        <v>123.8896</v>
      </c>
      <c r="D9" s="17">
        <v>123.8896</v>
      </c>
      <c r="E9" s="34"/>
      <c r="F9" s="34">
        <f t="shared" si="0"/>
        <v>1130.200862</v>
      </c>
      <c r="G9" s="33"/>
      <c r="H9" s="6">
        <v>68.3</v>
      </c>
    </row>
    <row r="10" s="6" customFormat="1" ht="23.5" customHeight="1" spans="1:7">
      <c r="A10" s="16" t="s">
        <v>167</v>
      </c>
      <c r="B10" s="17">
        <v>735.163985</v>
      </c>
      <c r="C10" s="34">
        <f t="shared" si="1"/>
        <v>60.9234</v>
      </c>
      <c r="D10" s="17">
        <v>60.9234</v>
      </c>
      <c r="E10" s="34"/>
      <c r="F10" s="34">
        <f t="shared" si="0"/>
        <v>796.087385</v>
      </c>
      <c r="G10" s="33"/>
    </row>
    <row r="11" s="6" customFormat="1" ht="23.5" customHeight="1" spans="1:7">
      <c r="A11" s="16" t="s">
        <v>168</v>
      </c>
      <c r="B11" s="17">
        <v>1028.920198</v>
      </c>
      <c r="C11" s="34">
        <f t="shared" si="1"/>
        <v>80.783409</v>
      </c>
      <c r="D11" s="17">
        <v>80.783409</v>
      </c>
      <c r="E11" s="34"/>
      <c r="F11" s="34">
        <f t="shared" si="0"/>
        <v>1109.703607</v>
      </c>
      <c r="G11" s="33"/>
    </row>
    <row r="12" s="6" customFormat="1" ht="23.5" customHeight="1" spans="1:7">
      <c r="A12" s="16" t="s">
        <v>169</v>
      </c>
      <c r="B12" s="17">
        <v>976.59193</v>
      </c>
      <c r="C12" s="34">
        <f t="shared" si="1"/>
        <v>54.18275</v>
      </c>
      <c r="D12" s="17">
        <v>54.18275</v>
      </c>
      <c r="E12" s="34"/>
      <c r="F12" s="34">
        <f t="shared" si="0"/>
        <v>1030.77468</v>
      </c>
      <c r="G12" s="33"/>
    </row>
    <row r="13" s="6" customFormat="1" ht="23.5" customHeight="1" spans="1:8">
      <c r="A13" s="16" t="s">
        <v>170</v>
      </c>
      <c r="B13" s="17">
        <v>474.052547</v>
      </c>
      <c r="C13" s="34">
        <f t="shared" si="1"/>
        <v>45.298825</v>
      </c>
      <c r="D13" s="17">
        <v>45.298825</v>
      </c>
      <c r="E13" s="34"/>
      <c r="F13" s="34">
        <f t="shared" si="0"/>
        <v>519.351372</v>
      </c>
      <c r="G13" s="33"/>
      <c r="H13" s="6">
        <v>56.64</v>
      </c>
    </row>
    <row r="14" s="6" customFormat="1" ht="23.5" customHeight="1" spans="1:7">
      <c r="A14" s="16" t="s">
        <v>171</v>
      </c>
      <c r="B14" s="17">
        <v>402.745509</v>
      </c>
      <c r="C14" s="34">
        <f t="shared" si="1"/>
        <v>16.8621</v>
      </c>
      <c r="D14" s="17">
        <v>16.8621</v>
      </c>
      <c r="E14" s="34"/>
      <c r="F14" s="34">
        <f t="shared" si="0"/>
        <v>419.607609</v>
      </c>
      <c r="G14" s="33"/>
    </row>
    <row r="15" s="6" customFormat="1" ht="23.5" customHeight="1" spans="1:8">
      <c r="A15" s="16" t="s">
        <v>172</v>
      </c>
      <c r="B15" s="17">
        <v>189.245446</v>
      </c>
      <c r="C15" s="34">
        <f t="shared" si="1"/>
        <v>34.6733</v>
      </c>
      <c r="D15" s="17">
        <v>34.6733</v>
      </c>
      <c r="E15" s="34"/>
      <c r="F15" s="34">
        <f t="shared" si="0"/>
        <v>223.918746</v>
      </c>
      <c r="G15" s="33"/>
      <c r="H15" s="6">
        <v>76.91</v>
      </c>
    </row>
    <row r="16" s="6" customFormat="1" ht="23.5" customHeight="1" spans="1:7">
      <c r="A16" s="16" t="s">
        <v>173</v>
      </c>
      <c r="B16" s="17">
        <v>681.905016</v>
      </c>
      <c r="C16" s="34">
        <f t="shared" si="1"/>
        <v>134.956</v>
      </c>
      <c r="D16" s="17">
        <v>134.956</v>
      </c>
      <c r="E16" s="34"/>
      <c r="F16" s="34">
        <f t="shared" si="0"/>
        <v>816.861016</v>
      </c>
      <c r="G16" s="35"/>
    </row>
    <row r="17" s="6" customFormat="1" ht="23.5" customHeight="1" spans="1:8">
      <c r="A17" s="16" t="s">
        <v>66</v>
      </c>
      <c r="B17" s="17">
        <v>1096.836144</v>
      </c>
      <c r="C17" s="34">
        <f t="shared" si="1"/>
        <v>162.0648</v>
      </c>
      <c r="D17" s="17">
        <v>162.0648</v>
      </c>
      <c r="E17" s="34"/>
      <c r="F17" s="34">
        <f t="shared" si="0"/>
        <v>1258.900944</v>
      </c>
      <c r="G17" s="33"/>
      <c r="H17" s="6">
        <v>4</v>
      </c>
    </row>
    <row r="18" s="6" customFormat="1" ht="23.5" customHeight="1" spans="1:7">
      <c r="A18" s="16" t="s">
        <v>174</v>
      </c>
      <c r="B18" s="17">
        <v>457.567534</v>
      </c>
      <c r="C18" s="34">
        <f t="shared" si="1"/>
        <v>46.6851</v>
      </c>
      <c r="D18" s="17">
        <v>46.6851</v>
      </c>
      <c r="E18" s="34"/>
      <c r="F18" s="34">
        <f t="shared" si="0"/>
        <v>504.252634</v>
      </c>
      <c r="G18" s="33"/>
    </row>
    <row r="19" s="6" customFormat="1" ht="23.5" customHeight="1" spans="1:7">
      <c r="A19" s="16" t="s">
        <v>175</v>
      </c>
      <c r="B19" s="17">
        <v>240.028355</v>
      </c>
      <c r="C19" s="34">
        <f t="shared" si="1"/>
        <v>43.1562</v>
      </c>
      <c r="D19" s="17">
        <v>43.1562</v>
      </c>
      <c r="E19" s="34"/>
      <c r="F19" s="34">
        <f t="shared" si="0"/>
        <v>283.184555</v>
      </c>
      <c r="G19" s="33"/>
    </row>
    <row r="20" s="6" customFormat="1" ht="23.5" customHeight="1" spans="1:7">
      <c r="A20" s="16" t="s">
        <v>176</v>
      </c>
      <c r="B20" s="17">
        <v>214.508365</v>
      </c>
      <c r="C20" s="34">
        <f t="shared" si="1"/>
        <v>12.1898</v>
      </c>
      <c r="D20" s="17">
        <v>12.1898</v>
      </c>
      <c r="E20" s="34"/>
      <c r="F20" s="34">
        <f t="shared" si="0"/>
        <v>226.698165</v>
      </c>
      <c r="G20" s="33"/>
    </row>
    <row r="21" s="6" customFormat="1" ht="23.5" customHeight="1" spans="1:7">
      <c r="A21" s="16" t="s">
        <v>177</v>
      </c>
      <c r="B21" s="17">
        <v>455.855796</v>
      </c>
      <c r="C21" s="34">
        <f t="shared" si="1"/>
        <v>22.55215</v>
      </c>
      <c r="D21" s="17">
        <v>22.55215</v>
      </c>
      <c r="E21" s="34"/>
      <c r="F21" s="34">
        <f t="shared" si="0"/>
        <v>478.407946</v>
      </c>
      <c r="G21" s="33"/>
    </row>
    <row r="22" s="6" customFormat="1" ht="23.5" customHeight="1" spans="1:7">
      <c r="A22" s="16" t="s">
        <v>178</v>
      </c>
      <c r="B22" s="17">
        <v>400.808788</v>
      </c>
      <c r="C22" s="34">
        <f t="shared" si="1"/>
        <v>159.08967</v>
      </c>
      <c r="D22" s="17">
        <v>39.08967</v>
      </c>
      <c r="E22" s="34">
        <f>100+20</f>
        <v>120</v>
      </c>
      <c r="F22" s="34">
        <f t="shared" si="0"/>
        <v>559.898458</v>
      </c>
      <c r="G22" s="16" t="s">
        <v>179</v>
      </c>
    </row>
    <row r="23" s="6" customFormat="1" ht="23.5" customHeight="1" spans="1:7">
      <c r="A23" s="16" t="s">
        <v>180</v>
      </c>
      <c r="B23" s="17">
        <v>103.496992</v>
      </c>
      <c r="C23" s="34">
        <f t="shared" si="1"/>
        <v>14.7071</v>
      </c>
      <c r="D23" s="17">
        <v>14.7071</v>
      </c>
      <c r="E23" s="34"/>
      <c r="F23" s="34">
        <f t="shared" si="0"/>
        <v>118.204092</v>
      </c>
      <c r="G23" s="33"/>
    </row>
    <row r="24" s="6" customFormat="1" ht="23.5" customHeight="1" spans="1:7">
      <c r="A24" s="16" t="s">
        <v>181</v>
      </c>
      <c r="B24" s="17">
        <v>128.419205</v>
      </c>
      <c r="C24" s="34">
        <f t="shared" si="1"/>
        <v>17.425</v>
      </c>
      <c r="D24" s="17">
        <v>17.425</v>
      </c>
      <c r="E24" s="34"/>
      <c r="F24" s="34">
        <f t="shared" si="0"/>
        <v>145.844205</v>
      </c>
      <c r="G24" s="33"/>
    </row>
    <row r="25" s="6" customFormat="1" ht="23.5" customHeight="1" spans="1:7">
      <c r="A25" s="16" t="s">
        <v>182</v>
      </c>
      <c r="B25" s="17">
        <v>107.270118</v>
      </c>
      <c r="C25" s="34">
        <f t="shared" si="1"/>
        <v>6.5977</v>
      </c>
      <c r="D25" s="17">
        <v>6.5977</v>
      </c>
      <c r="E25" s="34"/>
      <c r="F25" s="34">
        <f t="shared" si="0"/>
        <v>113.867818</v>
      </c>
      <c r="G25" s="33"/>
    </row>
    <row r="26" s="6" customFormat="1" ht="23.5" customHeight="1" spans="1:7">
      <c r="A26" s="16" t="s">
        <v>183</v>
      </c>
      <c r="B26" s="17">
        <v>89.069316</v>
      </c>
      <c r="C26" s="34">
        <f t="shared" si="1"/>
        <v>4.0836</v>
      </c>
      <c r="D26" s="17">
        <v>4.0836</v>
      </c>
      <c r="E26" s="34"/>
      <c r="F26" s="34">
        <f t="shared" si="0"/>
        <v>93.152916</v>
      </c>
      <c r="G26" s="33"/>
    </row>
    <row r="27" s="6" customFormat="1" ht="23.5" customHeight="1" spans="1:7">
      <c r="A27" s="16" t="s">
        <v>184</v>
      </c>
      <c r="B27" s="17">
        <v>83.555687</v>
      </c>
      <c r="C27" s="34">
        <f t="shared" si="1"/>
        <v>7.2311</v>
      </c>
      <c r="D27" s="17">
        <v>7.2311</v>
      </c>
      <c r="E27" s="34"/>
      <c r="F27" s="34">
        <f t="shared" si="0"/>
        <v>90.786787</v>
      </c>
      <c r="G27" s="33"/>
    </row>
    <row r="28" s="6" customFormat="1" ht="23.5" customHeight="1" spans="1:9">
      <c r="A28" s="16" t="s">
        <v>185</v>
      </c>
      <c r="B28" s="17">
        <v>58.841272</v>
      </c>
      <c r="C28" s="34">
        <f t="shared" si="1"/>
        <v>7.804</v>
      </c>
      <c r="D28" s="17">
        <v>2.504</v>
      </c>
      <c r="E28" s="34">
        <v>5.3</v>
      </c>
      <c r="F28" s="34">
        <f t="shared" si="0"/>
        <v>66.645272</v>
      </c>
      <c r="G28" s="35" t="s">
        <v>186</v>
      </c>
      <c r="H28" s="6">
        <v>5</v>
      </c>
      <c r="I28" s="6">
        <v>11.21</v>
      </c>
    </row>
    <row r="29" s="6" customFormat="1" ht="23.5" customHeight="1" spans="1:7">
      <c r="A29" s="16" t="s">
        <v>187</v>
      </c>
      <c r="B29" s="17">
        <v>195.189108</v>
      </c>
      <c r="C29" s="34">
        <f t="shared" si="1"/>
        <v>40.2506</v>
      </c>
      <c r="D29" s="17">
        <v>40.2506</v>
      </c>
      <c r="E29" s="34"/>
      <c r="F29" s="34">
        <f t="shared" si="0"/>
        <v>235.439708</v>
      </c>
      <c r="G29" s="33"/>
    </row>
    <row r="30" s="6" customFormat="1" ht="23.5" customHeight="1" spans="1:7">
      <c r="A30" s="16" t="s">
        <v>188</v>
      </c>
      <c r="B30" s="17">
        <v>121.260707</v>
      </c>
      <c r="C30" s="34">
        <f t="shared" si="1"/>
        <v>6.8796</v>
      </c>
      <c r="D30" s="17">
        <v>6.8796</v>
      </c>
      <c r="E30" s="34"/>
      <c r="F30" s="34">
        <f t="shared" si="0"/>
        <v>128.140307</v>
      </c>
      <c r="G30" s="33"/>
    </row>
    <row r="31" s="6" customFormat="1" ht="23.5" customHeight="1" spans="1:7">
      <c r="A31" s="16" t="s">
        <v>81</v>
      </c>
      <c r="B31" s="17">
        <v>533.407135</v>
      </c>
      <c r="C31" s="34">
        <f t="shared" si="1"/>
        <v>95.383475</v>
      </c>
      <c r="D31" s="17">
        <v>95.383475</v>
      </c>
      <c r="E31" s="34"/>
      <c r="F31" s="34">
        <f t="shared" si="0"/>
        <v>628.79061</v>
      </c>
      <c r="G31" s="33"/>
    </row>
    <row r="32" s="6" customFormat="1" ht="23.5" customHeight="1" spans="1:8">
      <c r="A32" s="16" t="s">
        <v>189</v>
      </c>
      <c r="B32" s="17">
        <v>117.553626</v>
      </c>
      <c r="C32" s="34">
        <f t="shared" si="1"/>
        <v>8.2162</v>
      </c>
      <c r="D32" s="17">
        <v>8.2162</v>
      </c>
      <c r="E32" s="34"/>
      <c r="F32" s="34">
        <f t="shared" si="0"/>
        <v>125.769826</v>
      </c>
      <c r="G32" s="35"/>
      <c r="H32" s="6">
        <v>5</v>
      </c>
    </row>
    <row r="33" s="6" customFormat="1" ht="23.5" customHeight="1" spans="1:7">
      <c r="A33" s="16" t="s">
        <v>190</v>
      </c>
      <c r="B33" s="17">
        <v>60.38643</v>
      </c>
      <c r="C33" s="34">
        <f t="shared" si="1"/>
        <v>28.7393</v>
      </c>
      <c r="D33" s="17">
        <v>28.7393</v>
      </c>
      <c r="E33" s="34"/>
      <c r="F33" s="34">
        <f t="shared" si="0"/>
        <v>89.12573</v>
      </c>
      <c r="G33" s="33"/>
    </row>
    <row r="34" s="6" customFormat="1" ht="23.5" customHeight="1" spans="1:7">
      <c r="A34" s="16" t="s">
        <v>191</v>
      </c>
      <c r="B34" s="17">
        <v>246.361709</v>
      </c>
      <c r="C34" s="34">
        <f t="shared" si="1"/>
        <v>5.55</v>
      </c>
      <c r="D34" s="17">
        <v>5.55</v>
      </c>
      <c r="E34" s="34"/>
      <c r="F34" s="34">
        <f t="shared" si="0"/>
        <v>251.911709</v>
      </c>
      <c r="G34" s="33"/>
    </row>
    <row r="35" s="6" customFormat="1" ht="23.5" customHeight="1" spans="1:7">
      <c r="A35" s="16" t="s">
        <v>64</v>
      </c>
      <c r="B35" s="17">
        <v>2430.397861</v>
      </c>
      <c r="C35" s="34">
        <f t="shared" si="1"/>
        <v>548.17</v>
      </c>
      <c r="D35" s="17">
        <v>482.9</v>
      </c>
      <c r="E35" s="34">
        <v>65.27</v>
      </c>
      <c r="F35" s="34">
        <f t="shared" si="0"/>
        <v>2978.567861</v>
      </c>
      <c r="G35" s="33" t="s">
        <v>192</v>
      </c>
    </row>
    <row r="36" s="6" customFormat="1" ht="23.5" customHeight="1" spans="1:9">
      <c r="A36" s="16" t="s">
        <v>193</v>
      </c>
      <c r="B36" s="17">
        <v>1066.620482</v>
      </c>
      <c r="C36" s="34">
        <f t="shared" si="1"/>
        <v>0</v>
      </c>
      <c r="D36" s="17"/>
      <c r="E36" s="34"/>
      <c r="F36" s="34">
        <f t="shared" si="0"/>
        <v>1066.620482</v>
      </c>
      <c r="G36" s="33"/>
      <c r="H36" s="6">
        <v>78</v>
      </c>
      <c r="I36" s="6">
        <v>18</v>
      </c>
    </row>
    <row r="37" s="6" customFormat="1" ht="23.5" customHeight="1" spans="1:7">
      <c r="A37" s="16" t="s">
        <v>194</v>
      </c>
      <c r="B37" s="17">
        <v>93.532752</v>
      </c>
      <c r="C37" s="34">
        <f t="shared" si="1"/>
        <v>0</v>
      </c>
      <c r="D37" s="17"/>
      <c r="E37" s="34"/>
      <c r="F37" s="34">
        <f t="shared" si="0"/>
        <v>93.532752</v>
      </c>
      <c r="G37" s="33"/>
    </row>
    <row r="38" s="6" customFormat="1" ht="23.5" customHeight="1" spans="1:7">
      <c r="A38" s="16" t="s">
        <v>195</v>
      </c>
      <c r="B38" s="17">
        <v>958.722221</v>
      </c>
      <c r="C38" s="34">
        <f t="shared" si="1"/>
        <v>0</v>
      </c>
      <c r="D38" s="17"/>
      <c r="E38" s="34"/>
      <c r="F38" s="34">
        <f t="shared" si="0"/>
        <v>958.722221</v>
      </c>
      <c r="G38" s="33"/>
    </row>
    <row r="39" s="6" customFormat="1" ht="23.5" customHeight="1" spans="1:7">
      <c r="A39" s="16" t="s">
        <v>196</v>
      </c>
      <c r="B39" s="17">
        <v>1062.786566</v>
      </c>
      <c r="C39" s="34">
        <f t="shared" si="1"/>
        <v>0</v>
      </c>
      <c r="D39" s="17"/>
      <c r="E39" s="34"/>
      <c r="F39" s="34">
        <f t="shared" si="0"/>
        <v>1062.786566</v>
      </c>
      <c r="G39" s="33"/>
    </row>
    <row r="40" s="6" customFormat="1" ht="23.5" customHeight="1" spans="1:7">
      <c r="A40" s="16" t="s">
        <v>197</v>
      </c>
      <c r="B40" s="17">
        <v>951.411272</v>
      </c>
      <c r="C40" s="34">
        <f t="shared" si="1"/>
        <v>0</v>
      </c>
      <c r="D40" s="17"/>
      <c r="E40" s="34"/>
      <c r="F40" s="34">
        <f t="shared" si="0"/>
        <v>951.411272</v>
      </c>
      <c r="G40" s="33"/>
    </row>
    <row r="41" s="6" customFormat="1" ht="23.5" customHeight="1" spans="1:7">
      <c r="A41" s="16" t="s">
        <v>198</v>
      </c>
      <c r="B41" s="17">
        <v>1530.626098</v>
      </c>
      <c r="C41" s="34">
        <f t="shared" si="1"/>
        <v>0</v>
      </c>
      <c r="D41" s="17"/>
      <c r="E41" s="34"/>
      <c r="F41" s="34">
        <f t="shared" si="0"/>
        <v>1530.626098</v>
      </c>
      <c r="G41" s="33"/>
    </row>
    <row r="42" s="6" customFormat="1" ht="23.5" customHeight="1" spans="1:7">
      <c r="A42" s="16" t="s">
        <v>199</v>
      </c>
      <c r="B42" s="17">
        <v>435.792583</v>
      </c>
      <c r="C42" s="34">
        <f t="shared" si="1"/>
        <v>0</v>
      </c>
      <c r="D42" s="17"/>
      <c r="E42" s="34"/>
      <c r="F42" s="34">
        <f t="shared" si="0"/>
        <v>435.792583</v>
      </c>
      <c r="G42" s="33"/>
    </row>
    <row r="43" s="6" customFormat="1" ht="23.5" customHeight="1" spans="1:7">
      <c r="A43" s="16" t="s">
        <v>200</v>
      </c>
      <c r="B43" s="17">
        <v>2517.059267</v>
      </c>
      <c r="C43" s="34">
        <f t="shared" si="1"/>
        <v>0</v>
      </c>
      <c r="D43" s="17"/>
      <c r="E43" s="34"/>
      <c r="F43" s="34">
        <f t="shared" si="0"/>
        <v>2517.059267</v>
      </c>
      <c r="G43" s="33"/>
    </row>
    <row r="44" s="6" customFormat="1" ht="23.5" customHeight="1" spans="1:7">
      <c r="A44" s="16" t="s">
        <v>201</v>
      </c>
      <c r="B44" s="17">
        <v>903.164214</v>
      </c>
      <c r="C44" s="34">
        <f t="shared" si="1"/>
        <v>0</v>
      </c>
      <c r="D44" s="17"/>
      <c r="E44" s="34"/>
      <c r="F44" s="34">
        <f t="shared" si="0"/>
        <v>903.164214</v>
      </c>
      <c r="G44" s="33"/>
    </row>
    <row r="45" s="6" customFormat="1" ht="23.5" customHeight="1" spans="1:7">
      <c r="A45" s="16" t="s">
        <v>202</v>
      </c>
      <c r="B45" s="17">
        <v>1038.389873</v>
      </c>
      <c r="C45" s="34">
        <f t="shared" si="1"/>
        <v>0</v>
      </c>
      <c r="D45" s="17"/>
      <c r="E45" s="34"/>
      <c r="F45" s="34">
        <f t="shared" si="0"/>
        <v>1038.389873</v>
      </c>
      <c r="G45" s="33"/>
    </row>
    <row r="46" s="6" customFormat="1" ht="23.5" customHeight="1" spans="1:7">
      <c r="A46" s="16" t="s">
        <v>203</v>
      </c>
      <c r="B46" s="17">
        <v>1799.541016</v>
      </c>
      <c r="C46" s="34">
        <f t="shared" si="1"/>
        <v>0</v>
      </c>
      <c r="D46" s="17"/>
      <c r="E46" s="34"/>
      <c r="F46" s="34">
        <f t="shared" si="0"/>
        <v>1799.541016</v>
      </c>
      <c r="G46" s="33"/>
    </row>
    <row r="47" s="6" customFormat="1" ht="23.5" customHeight="1" spans="1:7">
      <c r="A47" s="16" t="s">
        <v>204</v>
      </c>
      <c r="B47" s="17">
        <v>1267.468291</v>
      </c>
      <c r="C47" s="34">
        <f t="shared" si="1"/>
        <v>0</v>
      </c>
      <c r="D47" s="17"/>
      <c r="E47" s="34"/>
      <c r="F47" s="34">
        <f t="shared" si="0"/>
        <v>1267.468291</v>
      </c>
      <c r="G47" s="33"/>
    </row>
    <row r="48" s="6" customFormat="1" ht="23.5" customHeight="1" spans="1:7">
      <c r="A48" s="16" t="s">
        <v>205</v>
      </c>
      <c r="B48" s="17">
        <v>900.71512</v>
      </c>
      <c r="C48" s="34">
        <f t="shared" si="1"/>
        <v>0</v>
      </c>
      <c r="D48" s="17"/>
      <c r="E48" s="34"/>
      <c r="F48" s="34">
        <f t="shared" si="0"/>
        <v>900.71512</v>
      </c>
      <c r="G48" s="35"/>
    </row>
    <row r="49" s="6" customFormat="1" ht="23.5" customHeight="1" spans="1:7">
      <c r="A49" s="16" t="s">
        <v>206</v>
      </c>
      <c r="B49" s="17">
        <v>1162.354384</v>
      </c>
      <c r="C49" s="34">
        <f t="shared" si="1"/>
        <v>0</v>
      </c>
      <c r="D49" s="17"/>
      <c r="E49" s="34"/>
      <c r="F49" s="34">
        <f t="shared" si="0"/>
        <v>1162.354384</v>
      </c>
      <c r="G49" s="33"/>
    </row>
    <row r="50" s="6" customFormat="1" ht="23.5" customHeight="1" spans="1:7">
      <c r="A50" s="16" t="s">
        <v>207</v>
      </c>
      <c r="B50" s="17">
        <v>973.826145</v>
      </c>
      <c r="C50" s="34">
        <f t="shared" si="1"/>
        <v>0</v>
      </c>
      <c r="D50" s="17"/>
      <c r="E50" s="34"/>
      <c r="F50" s="34">
        <f t="shared" si="0"/>
        <v>973.826145</v>
      </c>
      <c r="G50" s="35"/>
    </row>
    <row r="51" s="6" customFormat="1" ht="23.5" customHeight="1" spans="1:7">
      <c r="A51" s="16" t="s">
        <v>208</v>
      </c>
      <c r="B51" s="17">
        <v>1874.532064</v>
      </c>
      <c r="C51" s="34">
        <f t="shared" si="1"/>
        <v>0</v>
      </c>
      <c r="D51" s="17"/>
      <c r="E51" s="34"/>
      <c r="F51" s="34">
        <f t="shared" si="0"/>
        <v>1874.532064</v>
      </c>
      <c r="G51" s="33"/>
    </row>
    <row r="52" s="6" customFormat="1" ht="23.5" customHeight="1" spans="1:7">
      <c r="A52" s="16" t="s">
        <v>209</v>
      </c>
      <c r="B52" s="17">
        <v>2142.208066</v>
      </c>
      <c r="C52" s="34">
        <f t="shared" si="1"/>
        <v>0</v>
      </c>
      <c r="D52" s="17"/>
      <c r="E52" s="34"/>
      <c r="F52" s="34">
        <f t="shared" si="0"/>
        <v>2142.208066</v>
      </c>
      <c r="G52" s="33"/>
    </row>
    <row r="53" s="6" customFormat="1" ht="23.5" customHeight="1" spans="1:7">
      <c r="A53" s="16" t="s">
        <v>210</v>
      </c>
      <c r="B53" s="17">
        <v>1235.428083</v>
      </c>
      <c r="C53" s="34">
        <f t="shared" si="1"/>
        <v>0</v>
      </c>
      <c r="D53" s="17"/>
      <c r="E53" s="34"/>
      <c r="F53" s="34">
        <f t="shared" si="0"/>
        <v>1235.428083</v>
      </c>
      <c r="G53" s="33"/>
    </row>
    <row r="54" s="6" customFormat="1" ht="23.5" customHeight="1" spans="1:7">
      <c r="A54" s="16" t="s">
        <v>211</v>
      </c>
      <c r="B54" s="17">
        <v>2006.748046</v>
      </c>
      <c r="C54" s="34">
        <f t="shared" si="1"/>
        <v>0</v>
      </c>
      <c r="D54" s="17"/>
      <c r="E54" s="34"/>
      <c r="F54" s="34">
        <f t="shared" si="0"/>
        <v>2006.748046</v>
      </c>
      <c r="G54" s="33"/>
    </row>
    <row r="55" s="6" customFormat="1" ht="23.5" customHeight="1" spans="1:7">
      <c r="A55" s="16" t="s">
        <v>212</v>
      </c>
      <c r="B55" s="17">
        <v>1043.353228</v>
      </c>
      <c r="C55" s="34">
        <f t="shared" si="1"/>
        <v>0</v>
      </c>
      <c r="D55" s="17"/>
      <c r="E55" s="34"/>
      <c r="F55" s="34">
        <f t="shared" si="0"/>
        <v>1043.353228</v>
      </c>
      <c r="G55" s="33"/>
    </row>
    <row r="56" s="6" customFormat="1" ht="23.5" customHeight="1" spans="1:7">
      <c r="A56" s="16" t="s">
        <v>213</v>
      </c>
      <c r="B56" s="17">
        <v>959.414041</v>
      </c>
      <c r="C56" s="34">
        <f t="shared" si="1"/>
        <v>0</v>
      </c>
      <c r="D56" s="17"/>
      <c r="E56" s="34"/>
      <c r="F56" s="34">
        <f t="shared" si="0"/>
        <v>959.414041</v>
      </c>
      <c r="G56" s="33"/>
    </row>
    <row r="57" s="6" customFormat="1" ht="23.5" customHeight="1" spans="1:7">
      <c r="A57" s="16" t="s">
        <v>214</v>
      </c>
      <c r="B57" s="17">
        <v>222.871436</v>
      </c>
      <c r="C57" s="34">
        <f t="shared" si="1"/>
        <v>0</v>
      </c>
      <c r="D57" s="17"/>
      <c r="E57" s="34"/>
      <c r="F57" s="34">
        <f t="shared" si="0"/>
        <v>222.871436</v>
      </c>
      <c r="G57" s="33"/>
    </row>
    <row r="58" s="6" customFormat="1" ht="23.5" customHeight="1" spans="1:7">
      <c r="A58" s="16" t="s">
        <v>215</v>
      </c>
      <c r="B58" s="17">
        <v>138.777924</v>
      </c>
      <c r="C58" s="34">
        <f t="shared" si="1"/>
        <v>0</v>
      </c>
      <c r="D58" s="17"/>
      <c r="E58" s="34"/>
      <c r="F58" s="34">
        <f t="shared" si="0"/>
        <v>138.777924</v>
      </c>
      <c r="G58" s="33"/>
    </row>
    <row r="59" s="6" customFormat="1" ht="23.5" customHeight="1" spans="1:7">
      <c r="A59" s="16" t="s">
        <v>216</v>
      </c>
      <c r="B59" s="17">
        <v>1115.338069</v>
      </c>
      <c r="C59" s="34">
        <f t="shared" si="1"/>
        <v>0</v>
      </c>
      <c r="D59" s="17"/>
      <c r="E59" s="34"/>
      <c r="F59" s="34">
        <f t="shared" si="0"/>
        <v>1115.338069</v>
      </c>
      <c r="G59" s="33"/>
    </row>
    <row r="60" s="6" customFormat="1" ht="23.5" customHeight="1" spans="1:7">
      <c r="A60" s="16" t="s">
        <v>217</v>
      </c>
      <c r="B60" s="17">
        <v>193.102801</v>
      </c>
      <c r="C60" s="34">
        <f t="shared" si="1"/>
        <v>0</v>
      </c>
      <c r="D60" s="17"/>
      <c r="E60" s="34"/>
      <c r="F60" s="34">
        <f t="shared" si="0"/>
        <v>193.102801</v>
      </c>
      <c r="G60" s="33"/>
    </row>
    <row r="61" s="6" customFormat="1" ht="23.5" customHeight="1" spans="1:7">
      <c r="A61" s="16" t="s">
        <v>218</v>
      </c>
      <c r="B61" s="17">
        <v>24.593398</v>
      </c>
      <c r="C61" s="34">
        <f t="shared" si="1"/>
        <v>0</v>
      </c>
      <c r="D61" s="17"/>
      <c r="E61" s="34"/>
      <c r="F61" s="34">
        <f t="shared" si="0"/>
        <v>24.593398</v>
      </c>
      <c r="G61" s="33"/>
    </row>
    <row r="62" s="6" customFormat="1" ht="23.5" customHeight="1" spans="1:7">
      <c r="A62" s="16" t="s">
        <v>219</v>
      </c>
      <c r="B62" s="17">
        <v>135.680547</v>
      </c>
      <c r="C62" s="34">
        <f t="shared" si="1"/>
        <v>26.9522</v>
      </c>
      <c r="D62" s="17">
        <v>26.9522</v>
      </c>
      <c r="E62" s="34"/>
      <c r="F62" s="34">
        <f t="shared" si="0"/>
        <v>162.632747</v>
      </c>
      <c r="G62" s="33"/>
    </row>
    <row r="63" s="6" customFormat="1" ht="23.5" customHeight="1" spans="1:7">
      <c r="A63" s="16" t="s">
        <v>220</v>
      </c>
      <c r="B63" s="17">
        <v>52.545605</v>
      </c>
      <c r="C63" s="34">
        <f t="shared" si="1"/>
        <v>5.1128</v>
      </c>
      <c r="D63" s="17">
        <v>5.1128</v>
      </c>
      <c r="E63" s="34"/>
      <c r="F63" s="34">
        <f t="shared" si="0"/>
        <v>57.658405</v>
      </c>
      <c r="G63" s="33"/>
    </row>
    <row r="64" s="6" customFormat="1" ht="23.5" customHeight="1" spans="1:7">
      <c r="A64" s="16" t="s">
        <v>221</v>
      </c>
      <c r="B64" s="17">
        <v>494.502868</v>
      </c>
      <c r="C64" s="34">
        <f t="shared" si="1"/>
        <v>176.3647</v>
      </c>
      <c r="D64" s="17">
        <v>176.3647</v>
      </c>
      <c r="E64" s="34"/>
      <c r="F64" s="34">
        <f t="shared" si="0"/>
        <v>670.867568</v>
      </c>
      <c r="G64" s="33"/>
    </row>
    <row r="65" s="6" customFormat="1" ht="23.5" customHeight="1" spans="1:7">
      <c r="A65" s="16" t="s">
        <v>222</v>
      </c>
      <c r="B65" s="17">
        <v>108.820416</v>
      </c>
      <c r="C65" s="34">
        <f t="shared" si="1"/>
        <v>13.65</v>
      </c>
      <c r="D65" s="17">
        <v>13.65</v>
      </c>
      <c r="E65" s="34"/>
      <c r="F65" s="34">
        <f t="shared" si="0"/>
        <v>122.470416</v>
      </c>
      <c r="G65" s="33"/>
    </row>
    <row r="66" s="6" customFormat="1" ht="23.5" customHeight="1" spans="1:7">
      <c r="A66" s="16" t="s">
        <v>223</v>
      </c>
      <c r="B66" s="17">
        <v>248.770427</v>
      </c>
      <c r="C66" s="34">
        <f t="shared" si="1"/>
        <v>12.08</v>
      </c>
      <c r="D66" s="17">
        <v>10.4</v>
      </c>
      <c r="E66" s="34">
        <f>1.2+0.48</f>
        <v>1.68</v>
      </c>
      <c r="F66" s="34">
        <f t="shared" si="0"/>
        <v>260.850427</v>
      </c>
      <c r="G66" s="33" t="s">
        <v>224</v>
      </c>
    </row>
    <row r="67" s="6" customFormat="1" ht="23.5" customHeight="1" spans="1:7">
      <c r="A67" s="16" t="s">
        <v>225</v>
      </c>
      <c r="B67" s="17">
        <v>243.516083</v>
      </c>
      <c r="C67" s="34">
        <f t="shared" si="1"/>
        <v>39.2454</v>
      </c>
      <c r="D67" s="17">
        <v>39.2454</v>
      </c>
      <c r="E67" s="34"/>
      <c r="F67" s="34">
        <f t="shared" si="0"/>
        <v>282.761483</v>
      </c>
      <c r="G67" s="33"/>
    </row>
    <row r="68" s="6" customFormat="1" ht="23.5" customHeight="1" spans="1:7">
      <c r="A68" s="16" t="s">
        <v>226</v>
      </c>
      <c r="B68" s="17">
        <v>201.31274</v>
      </c>
      <c r="C68" s="34">
        <f t="shared" si="1"/>
        <v>7.35</v>
      </c>
      <c r="D68" s="17">
        <v>7.35</v>
      </c>
      <c r="E68" s="34"/>
      <c r="F68" s="34">
        <f t="shared" si="0"/>
        <v>208.66274</v>
      </c>
      <c r="G68" s="33"/>
    </row>
    <row r="69" s="6" customFormat="1" ht="23.5" customHeight="1" spans="1:7">
      <c r="A69" s="16" t="s">
        <v>227</v>
      </c>
      <c r="B69" s="17">
        <v>2448.198865</v>
      </c>
      <c r="C69" s="34">
        <f t="shared" si="1"/>
        <v>303.4953</v>
      </c>
      <c r="D69" s="17">
        <v>98.7053</v>
      </c>
      <c r="E69" s="34">
        <f>200-0.89+5.68</f>
        <v>204.79</v>
      </c>
      <c r="F69" s="34">
        <f t="shared" si="0"/>
        <v>2751.694165</v>
      </c>
      <c r="G69" s="33" t="s">
        <v>228</v>
      </c>
    </row>
    <row r="70" s="6" customFormat="1" ht="23.5" customHeight="1" spans="1:7">
      <c r="A70" s="16" t="s">
        <v>229</v>
      </c>
      <c r="B70" s="17">
        <v>108</v>
      </c>
      <c r="C70" s="34">
        <f t="shared" si="1"/>
        <v>2.7</v>
      </c>
      <c r="D70" s="17">
        <v>2.7</v>
      </c>
      <c r="E70" s="34"/>
      <c r="F70" s="34">
        <f t="shared" ref="F70:F92" si="2">B70+C70</f>
        <v>110.7</v>
      </c>
      <c r="G70" s="33"/>
    </row>
    <row r="71" s="6" customFormat="1" ht="23.5" customHeight="1" spans="1:8">
      <c r="A71" s="16" t="s">
        <v>230</v>
      </c>
      <c r="B71" s="17">
        <v>80.872751</v>
      </c>
      <c r="C71" s="34">
        <f t="shared" ref="C71:C92" si="3">D71+E71</f>
        <v>3.95</v>
      </c>
      <c r="D71" s="17">
        <v>3.95</v>
      </c>
      <c r="E71" s="34"/>
      <c r="F71" s="34">
        <f t="shared" si="2"/>
        <v>84.822751</v>
      </c>
      <c r="G71" s="33"/>
      <c r="H71" s="6">
        <v>200</v>
      </c>
    </row>
    <row r="72" s="6" customFormat="1" ht="23.5" customHeight="1" spans="1:7">
      <c r="A72" s="16" t="s">
        <v>231</v>
      </c>
      <c r="B72" s="17">
        <v>131.381135</v>
      </c>
      <c r="C72" s="34">
        <f t="shared" si="3"/>
        <v>9.853245</v>
      </c>
      <c r="D72" s="17">
        <v>9.853245</v>
      </c>
      <c r="E72" s="34"/>
      <c r="F72" s="34">
        <f t="shared" si="2"/>
        <v>141.23438</v>
      </c>
      <c r="G72" s="33"/>
    </row>
    <row r="73" s="6" customFormat="1" ht="23.5" customHeight="1" spans="1:7">
      <c r="A73" s="16" t="s">
        <v>232</v>
      </c>
      <c r="B73" s="17">
        <v>123.795943</v>
      </c>
      <c r="C73" s="34">
        <f t="shared" si="3"/>
        <v>12.3571</v>
      </c>
      <c r="D73" s="17">
        <v>12.3571</v>
      </c>
      <c r="E73" s="34"/>
      <c r="F73" s="34">
        <f t="shared" si="2"/>
        <v>136.153043</v>
      </c>
      <c r="G73" s="33"/>
    </row>
    <row r="74" s="6" customFormat="1" ht="23.5" customHeight="1" spans="1:8">
      <c r="A74" s="16" t="s">
        <v>62</v>
      </c>
      <c r="B74" s="17">
        <v>1649.516875</v>
      </c>
      <c r="C74" s="34">
        <f t="shared" si="3"/>
        <v>69.3755</v>
      </c>
      <c r="D74" s="17">
        <v>179.7555</v>
      </c>
      <c r="E74" s="34">
        <f>0.18+0.9-7.66-0.22-3.68-0.07-99.83</f>
        <v>-110.38</v>
      </c>
      <c r="F74" s="34">
        <f t="shared" si="2"/>
        <v>1718.892375</v>
      </c>
      <c r="G74" s="33" t="s">
        <v>233</v>
      </c>
      <c r="H74" s="6">
        <v>5</v>
      </c>
    </row>
    <row r="75" s="6" customFormat="1" ht="23.5" customHeight="1" spans="1:9">
      <c r="A75" s="16" t="s">
        <v>234</v>
      </c>
      <c r="B75" s="17">
        <v>242.029181</v>
      </c>
      <c r="C75" s="34">
        <f t="shared" si="3"/>
        <v>7.8</v>
      </c>
      <c r="D75" s="17">
        <v>7.8</v>
      </c>
      <c r="E75" s="34"/>
      <c r="F75" s="34">
        <f t="shared" si="2"/>
        <v>249.829181</v>
      </c>
      <c r="G75" s="33"/>
      <c r="H75" s="6">
        <v>12</v>
      </c>
      <c r="I75" s="6">
        <v>23.79</v>
      </c>
    </row>
    <row r="76" s="6" customFormat="1" ht="23.5" customHeight="1" spans="1:7">
      <c r="A76" s="16" t="s">
        <v>235</v>
      </c>
      <c r="B76" s="17">
        <v>532.03</v>
      </c>
      <c r="C76" s="34">
        <f t="shared" si="3"/>
        <v>0</v>
      </c>
      <c r="D76" s="17"/>
      <c r="E76" s="34"/>
      <c r="F76" s="34">
        <f t="shared" si="2"/>
        <v>532.03</v>
      </c>
      <c r="G76" s="33"/>
    </row>
    <row r="77" s="6" customFormat="1" ht="23.5" customHeight="1" spans="1:7">
      <c r="A77" s="16" t="s">
        <v>236</v>
      </c>
      <c r="B77" s="17">
        <v>659.139888</v>
      </c>
      <c r="C77" s="34">
        <f t="shared" si="3"/>
        <v>0</v>
      </c>
      <c r="D77" s="17"/>
      <c r="E77" s="34"/>
      <c r="F77" s="34">
        <f t="shared" si="2"/>
        <v>659.139888</v>
      </c>
      <c r="G77" s="33"/>
    </row>
    <row r="78" s="6" customFormat="1" ht="23.5" customHeight="1" spans="1:7">
      <c r="A78" s="16" t="s">
        <v>237</v>
      </c>
      <c r="B78" s="17">
        <v>446.366694</v>
      </c>
      <c r="C78" s="34">
        <f t="shared" si="3"/>
        <v>0</v>
      </c>
      <c r="D78" s="17"/>
      <c r="E78" s="34"/>
      <c r="F78" s="34">
        <f t="shared" si="2"/>
        <v>446.366694</v>
      </c>
      <c r="G78" s="33"/>
    </row>
    <row r="79" s="6" customFormat="1" ht="23.5" customHeight="1" spans="1:9">
      <c r="A79" s="16" t="s">
        <v>238</v>
      </c>
      <c r="B79" s="17">
        <v>223.417523</v>
      </c>
      <c r="C79" s="34">
        <f t="shared" si="3"/>
        <v>0</v>
      </c>
      <c r="D79" s="17"/>
      <c r="E79" s="34"/>
      <c r="F79" s="34">
        <f t="shared" si="2"/>
        <v>223.417523</v>
      </c>
      <c r="G79" s="33"/>
      <c r="H79" s="6">
        <v>700.54</v>
      </c>
      <c r="I79" s="6">
        <v>161.54</v>
      </c>
    </row>
    <row r="80" s="6" customFormat="1" ht="23.5" customHeight="1" spans="1:7">
      <c r="A80" s="16" t="s">
        <v>239</v>
      </c>
      <c r="B80" s="17">
        <v>328.450388</v>
      </c>
      <c r="C80" s="34">
        <f t="shared" si="3"/>
        <v>0</v>
      </c>
      <c r="D80" s="17"/>
      <c r="E80" s="34"/>
      <c r="F80" s="34">
        <f t="shared" si="2"/>
        <v>328.450388</v>
      </c>
      <c r="G80" s="33"/>
    </row>
    <row r="81" s="6" customFormat="1" ht="23.5" customHeight="1" spans="1:7">
      <c r="A81" s="16" t="s">
        <v>240</v>
      </c>
      <c r="B81" s="17">
        <v>592.73</v>
      </c>
      <c r="C81" s="34">
        <f t="shared" si="3"/>
        <v>0</v>
      </c>
      <c r="D81" s="17"/>
      <c r="E81" s="34"/>
      <c r="F81" s="34">
        <f t="shared" si="2"/>
        <v>592.73</v>
      </c>
      <c r="G81" s="33"/>
    </row>
    <row r="82" s="6" customFormat="1" ht="23.5" customHeight="1" spans="1:7">
      <c r="A82" s="16" t="s">
        <v>241</v>
      </c>
      <c r="B82" s="17">
        <v>210.64</v>
      </c>
      <c r="C82" s="34">
        <f t="shared" si="3"/>
        <v>0</v>
      </c>
      <c r="D82" s="17"/>
      <c r="E82" s="34"/>
      <c r="F82" s="34">
        <f t="shared" si="2"/>
        <v>210.64</v>
      </c>
      <c r="G82" s="33"/>
    </row>
    <row r="83" s="6" customFormat="1" ht="23.5" customHeight="1" spans="1:7">
      <c r="A83" s="16" t="s">
        <v>242</v>
      </c>
      <c r="B83" s="17">
        <v>6155.7</v>
      </c>
      <c r="C83" s="34">
        <f t="shared" si="3"/>
        <v>-136.74</v>
      </c>
      <c r="D83" s="17"/>
      <c r="E83" s="34">
        <f>-72.67-64.07</f>
        <v>-136.74</v>
      </c>
      <c r="F83" s="34">
        <f t="shared" si="2"/>
        <v>6018.96</v>
      </c>
      <c r="G83" s="33" t="s">
        <v>243</v>
      </c>
    </row>
    <row r="84" s="6" customFormat="1" ht="23.5" customHeight="1" spans="1:7">
      <c r="A84" s="16" t="s">
        <v>244</v>
      </c>
      <c r="B84" s="17">
        <v>1654.151475</v>
      </c>
      <c r="C84" s="34">
        <f t="shared" si="3"/>
        <v>239.2955</v>
      </c>
      <c r="D84" s="17">
        <v>239.2955</v>
      </c>
      <c r="E84" s="34"/>
      <c r="F84" s="34">
        <f t="shared" si="2"/>
        <v>1893.446975</v>
      </c>
      <c r="G84" s="33"/>
    </row>
    <row r="85" s="6" customFormat="1" ht="23.5" customHeight="1" spans="1:8">
      <c r="A85" s="16" t="s">
        <v>245</v>
      </c>
      <c r="B85" s="17">
        <v>1315.930204</v>
      </c>
      <c r="C85" s="34">
        <f t="shared" si="3"/>
        <v>221.4067</v>
      </c>
      <c r="D85" s="17">
        <v>24.8767</v>
      </c>
      <c r="E85" s="34">
        <f>195.99+0.54</f>
        <v>196.53</v>
      </c>
      <c r="F85" s="34">
        <f t="shared" si="2"/>
        <v>1537.336904</v>
      </c>
      <c r="G85" s="33" t="s">
        <v>246</v>
      </c>
      <c r="H85" s="6">
        <v>529.96</v>
      </c>
    </row>
    <row r="86" s="6" customFormat="1" ht="23.5" customHeight="1" spans="1:7">
      <c r="A86" s="16" t="s">
        <v>247</v>
      </c>
      <c r="B86" s="17">
        <v>64.601247</v>
      </c>
      <c r="C86" s="34">
        <f t="shared" si="3"/>
        <v>3.3757</v>
      </c>
      <c r="D86" s="17">
        <v>3.3757</v>
      </c>
      <c r="E86" s="34"/>
      <c r="F86" s="34">
        <f t="shared" si="2"/>
        <v>67.976947</v>
      </c>
      <c r="G86" s="33"/>
    </row>
    <row r="87" s="6" customFormat="1" ht="23.5" customHeight="1" spans="1:7">
      <c r="A87" s="16" t="s">
        <v>248</v>
      </c>
      <c r="B87" s="17">
        <v>96.734183</v>
      </c>
      <c r="C87" s="34">
        <f t="shared" si="3"/>
        <v>12.2575</v>
      </c>
      <c r="D87" s="17">
        <v>12.2575</v>
      </c>
      <c r="E87" s="34"/>
      <c r="F87" s="34">
        <f t="shared" si="2"/>
        <v>108.991683</v>
      </c>
      <c r="G87" s="33"/>
    </row>
    <row r="88" s="6" customFormat="1" ht="23.5" customHeight="1" spans="1:7">
      <c r="A88" s="16" t="s">
        <v>249</v>
      </c>
      <c r="B88" s="17">
        <v>47.972491</v>
      </c>
      <c r="C88" s="34">
        <f t="shared" si="3"/>
        <v>17.15</v>
      </c>
      <c r="D88" s="17">
        <v>17.15</v>
      </c>
      <c r="E88" s="34"/>
      <c r="F88" s="34">
        <f t="shared" si="2"/>
        <v>65.122491</v>
      </c>
      <c r="G88" s="33"/>
    </row>
    <row r="89" s="6" customFormat="1" ht="23.5" customHeight="1" spans="1:7">
      <c r="A89" s="16" t="s">
        <v>78</v>
      </c>
      <c r="B89" s="17">
        <v>476.454329</v>
      </c>
      <c r="C89" s="34">
        <f t="shared" si="3"/>
        <v>118.0035</v>
      </c>
      <c r="D89" s="17">
        <v>76.0035</v>
      </c>
      <c r="E89" s="34">
        <v>42</v>
      </c>
      <c r="F89" s="34">
        <f t="shared" si="2"/>
        <v>594.457829</v>
      </c>
      <c r="G89" s="33" t="s">
        <v>250</v>
      </c>
    </row>
    <row r="90" s="6" customFormat="1" ht="23.5" customHeight="1" spans="1:7">
      <c r="A90" s="16" t="s">
        <v>251</v>
      </c>
      <c r="B90" s="17">
        <v>125.948942</v>
      </c>
      <c r="C90" s="34">
        <f t="shared" si="3"/>
        <v>0.45</v>
      </c>
      <c r="D90" s="17">
        <v>0.45</v>
      </c>
      <c r="E90" s="34"/>
      <c r="F90" s="34">
        <f t="shared" si="2"/>
        <v>126.398942</v>
      </c>
      <c r="G90" s="33"/>
    </row>
    <row r="91" s="6" customFormat="1" ht="23.5" customHeight="1" spans="1:7">
      <c r="A91" s="16" t="s">
        <v>252</v>
      </c>
      <c r="B91" s="17">
        <v>113.011919</v>
      </c>
      <c r="C91" s="34">
        <f t="shared" si="3"/>
        <v>0</v>
      </c>
      <c r="D91" s="17"/>
      <c r="E91" s="34"/>
      <c r="F91" s="34">
        <f t="shared" si="2"/>
        <v>113.011919</v>
      </c>
      <c r="G91" s="33"/>
    </row>
    <row r="92" s="6" customFormat="1" ht="23.5" customHeight="1" spans="1:7">
      <c r="A92" s="16" t="s">
        <v>253</v>
      </c>
      <c r="B92" s="17"/>
      <c r="C92" s="34">
        <f t="shared" si="3"/>
        <v>0</v>
      </c>
      <c r="D92" s="17"/>
      <c r="E92" s="34"/>
      <c r="F92" s="34">
        <f t="shared" si="2"/>
        <v>0</v>
      </c>
      <c r="G92" s="33"/>
    </row>
    <row r="93" s="6" customFormat="1" ht="23.5" customHeight="1" spans="1:7">
      <c r="A93" s="16" t="s">
        <v>254</v>
      </c>
      <c r="B93" s="17">
        <v>156.174348</v>
      </c>
      <c r="C93" s="34">
        <f t="shared" ref="C93:C135" si="4">D93+E93</f>
        <v>54.5738</v>
      </c>
      <c r="D93" s="17">
        <v>54.5738</v>
      </c>
      <c r="E93" s="34"/>
      <c r="F93" s="34">
        <f t="shared" ref="F93:F134" si="5">B93+C93</f>
        <v>210.748148</v>
      </c>
      <c r="G93" s="33"/>
    </row>
    <row r="94" s="6" customFormat="1" ht="23.5" customHeight="1" spans="1:7">
      <c r="A94" s="16" t="s">
        <v>255</v>
      </c>
      <c r="B94" s="17">
        <v>462.591572</v>
      </c>
      <c r="C94" s="34">
        <f t="shared" si="4"/>
        <v>75.7488</v>
      </c>
      <c r="D94" s="17">
        <v>75.7488</v>
      </c>
      <c r="E94" s="34"/>
      <c r="F94" s="34">
        <f t="shared" si="5"/>
        <v>538.340372</v>
      </c>
      <c r="G94" s="33"/>
    </row>
    <row r="95" s="6" customFormat="1" ht="23.5" customHeight="1" spans="1:7">
      <c r="A95" s="16" t="s">
        <v>256</v>
      </c>
      <c r="B95" s="17">
        <v>572.152857</v>
      </c>
      <c r="C95" s="34">
        <f t="shared" si="4"/>
        <v>166.6034</v>
      </c>
      <c r="D95" s="17">
        <v>66.6034</v>
      </c>
      <c r="E95" s="34">
        <v>100</v>
      </c>
      <c r="F95" s="34">
        <f t="shared" si="5"/>
        <v>738.756257</v>
      </c>
      <c r="G95" s="33" t="s">
        <v>257</v>
      </c>
    </row>
    <row r="96" s="6" customFormat="1" ht="23.5" customHeight="1" spans="1:7">
      <c r="A96" s="16" t="s">
        <v>258</v>
      </c>
      <c r="B96" s="17">
        <v>1497.229823</v>
      </c>
      <c r="C96" s="34">
        <f t="shared" si="4"/>
        <v>61.8</v>
      </c>
      <c r="D96" s="17">
        <v>61.8</v>
      </c>
      <c r="E96" s="34"/>
      <c r="F96" s="34">
        <f t="shared" si="5"/>
        <v>1559.029823</v>
      </c>
      <c r="G96" s="33"/>
    </row>
    <row r="97" s="6" customFormat="1" ht="23.5" customHeight="1" spans="1:7">
      <c r="A97" s="16" t="s">
        <v>259</v>
      </c>
      <c r="B97" s="17">
        <v>780</v>
      </c>
      <c r="C97" s="34">
        <f t="shared" si="4"/>
        <v>0</v>
      </c>
      <c r="D97" s="17"/>
      <c r="E97" s="34"/>
      <c r="F97" s="34">
        <f t="shared" si="5"/>
        <v>780</v>
      </c>
      <c r="G97" s="33"/>
    </row>
    <row r="98" s="6" customFormat="1" ht="23.5" customHeight="1" spans="1:8">
      <c r="A98" s="16" t="s">
        <v>260</v>
      </c>
      <c r="B98" s="17">
        <v>1138.197825</v>
      </c>
      <c r="C98" s="34">
        <f t="shared" si="4"/>
        <v>174.348617</v>
      </c>
      <c r="D98" s="17">
        <v>174.348617</v>
      </c>
      <c r="E98" s="34"/>
      <c r="F98" s="34">
        <f t="shared" si="5"/>
        <v>1312.546442</v>
      </c>
      <c r="G98" s="33"/>
      <c r="H98" s="6">
        <v>346.45</v>
      </c>
    </row>
    <row r="99" s="6" customFormat="1" ht="23.5" customHeight="1" spans="1:7">
      <c r="A99" s="16" t="s">
        <v>261</v>
      </c>
      <c r="B99" s="17">
        <v>476.65778</v>
      </c>
      <c r="C99" s="34">
        <f t="shared" si="4"/>
        <v>76.0461</v>
      </c>
      <c r="D99" s="17">
        <v>76.0461</v>
      </c>
      <c r="E99" s="34"/>
      <c r="F99" s="34">
        <f t="shared" si="5"/>
        <v>552.70388</v>
      </c>
      <c r="G99" s="33"/>
    </row>
    <row r="100" s="6" customFormat="1" ht="23.5" customHeight="1" spans="1:7">
      <c r="A100" s="16" t="s">
        <v>262</v>
      </c>
      <c r="B100" s="17">
        <v>677.238908</v>
      </c>
      <c r="C100" s="34">
        <f t="shared" si="4"/>
        <v>110.213</v>
      </c>
      <c r="D100" s="17">
        <v>110.213</v>
      </c>
      <c r="E100" s="34"/>
      <c r="F100" s="34">
        <f t="shared" si="5"/>
        <v>787.451908</v>
      </c>
      <c r="G100" s="33"/>
    </row>
    <row r="101" s="6" customFormat="1" ht="23.5" customHeight="1" spans="1:7">
      <c r="A101" s="16" t="s">
        <v>263</v>
      </c>
      <c r="B101" s="17">
        <v>130.086712</v>
      </c>
      <c r="C101" s="34">
        <f t="shared" si="4"/>
        <v>45.0679</v>
      </c>
      <c r="D101" s="17">
        <v>24.8179</v>
      </c>
      <c r="E101" s="34">
        <v>20.25</v>
      </c>
      <c r="F101" s="34">
        <f t="shared" si="5"/>
        <v>175.154612</v>
      </c>
      <c r="G101" s="33" t="s">
        <v>264</v>
      </c>
    </row>
    <row r="102" s="6" customFormat="1" ht="23.5" customHeight="1" spans="1:7">
      <c r="A102" s="16" t="s">
        <v>265</v>
      </c>
      <c r="B102" s="17">
        <v>2816.551217</v>
      </c>
      <c r="C102" s="34">
        <f t="shared" si="4"/>
        <v>425.098956</v>
      </c>
      <c r="D102" s="17">
        <v>252.5292</v>
      </c>
      <c r="E102" s="34">
        <f>155.953013+16.616743</f>
        <v>172.569756</v>
      </c>
      <c r="F102" s="34">
        <f t="shared" si="5"/>
        <v>3241.650173</v>
      </c>
      <c r="G102" s="33" t="s">
        <v>266</v>
      </c>
    </row>
    <row r="103" s="6" customFormat="1" ht="23.5" customHeight="1" spans="1:8">
      <c r="A103" s="16" t="s">
        <v>267</v>
      </c>
      <c r="B103" s="17">
        <v>5.1768</v>
      </c>
      <c r="C103" s="34">
        <f t="shared" si="4"/>
        <v>0</v>
      </c>
      <c r="D103" s="17"/>
      <c r="E103" s="34"/>
      <c r="F103" s="34">
        <f t="shared" si="5"/>
        <v>5.1768</v>
      </c>
      <c r="G103" s="16"/>
      <c r="H103" s="6">
        <v>71</v>
      </c>
    </row>
    <row r="104" s="6" customFormat="1" ht="23.5" customHeight="1" spans="1:7">
      <c r="A104" s="16" t="s">
        <v>268</v>
      </c>
      <c r="B104" s="17">
        <v>1149.50291</v>
      </c>
      <c r="C104" s="34">
        <f t="shared" si="4"/>
        <v>3163.150891</v>
      </c>
      <c r="D104" s="17">
        <v>255.05155</v>
      </c>
      <c r="E104" s="34">
        <f>1513.099341+1395</f>
        <v>2908.099341</v>
      </c>
      <c r="F104" s="34">
        <f t="shared" si="5"/>
        <v>4312.653801</v>
      </c>
      <c r="G104" s="33" t="s">
        <v>269</v>
      </c>
    </row>
    <row r="105" s="6" customFormat="1" ht="23.5" customHeight="1" spans="1:7">
      <c r="A105" s="16" t="s">
        <v>270</v>
      </c>
      <c r="B105" s="17">
        <v>442.683062</v>
      </c>
      <c r="C105" s="34">
        <f t="shared" si="4"/>
        <v>331.2721</v>
      </c>
      <c r="D105" s="17">
        <v>90.1121</v>
      </c>
      <c r="E105" s="34">
        <v>241.16</v>
      </c>
      <c r="F105" s="34">
        <f t="shared" si="5"/>
        <v>773.955162</v>
      </c>
      <c r="G105" s="37" t="s">
        <v>271</v>
      </c>
    </row>
    <row r="106" s="6" customFormat="1" ht="23.5" customHeight="1" spans="1:7">
      <c r="A106" s="16" t="s">
        <v>272</v>
      </c>
      <c r="B106" s="17">
        <v>90.28717</v>
      </c>
      <c r="C106" s="34">
        <f t="shared" si="4"/>
        <v>0</v>
      </c>
      <c r="D106" s="17"/>
      <c r="E106" s="34"/>
      <c r="F106" s="34">
        <f t="shared" si="5"/>
        <v>90.28717</v>
      </c>
      <c r="G106" s="33"/>
    </row>
    <row r="107" s="6" customFormat="1" ht="23.5" customHeight="1" spans="1:7">
      <c r="A107" s="16" t="s">
        <v>273</v>
      </c>
      <c r="B107" s="17">
        <v>105.84</v>
      </c>
      <c r="C107" s="34">
        <f t="shared" si="4"/>
        <v>0</v>
      </c>
      <c r="D107" s="17"/>
      <c r="E107" s="34"/>
      <c r="F107" s="34">
        <f t="shared" si="5"/>
        <v>105.84</v>
      </c>
      <c r="G107" s="35"/>
    </row>
    <row r="108" s="6" customFormat="1" ht="23.5" customHeight="1" spans="1:8">
      <c r="A108" s="16" t="s">
        <v>274</v>
      </c>
      <c r="B108" s="17">
        <v>749.117523</v>
      </c>
      <c r="C108" s="34">
        <f t="shared" si="4"/>
        <v>272.1025</v>
      </c>
      <c r="D108" s="17">
        <v>143.1725</v>
      </c>
      <c r="E108" s="34">
        <v>128.93</v>
      </c>
      <c r="F108" s="34">
        <f t="shared" si="5"/>
        <v>1021.220023</v>
      </c>
      <c r="G108" s="33" t="s">
        <v>275</v>
      </c>
      <c r="H108" s="6">
        <v>30</v>
      </c>
    </row>
    <row r="109" s="6" customFormat="1" ht="23.5" customHeight="1" spans="1:8">
      <c r="A109" s="16" t="s">
        <v>276</v>
      </c>
      <c r="B109" s="17">
        <v>249.34331</v>
      </c>
      <c r="C109" s="34">
        <f t="shared" si="4"/>
        <v>54.3541</v>
      </c>
      <c r="D109" s="17">
        <v>31.8541</v>
      </c>
      <c r="E109" s="34">
        <v>22.5</v>
      </c>
      <c r="F109" s="34">
        <f t="shared" si="5"/>
        <v>303.69741</v>
      </c>
      <c r="G109" s="33" t="s">
        <v>277</v>
      </c>
      <c r="H109" s="6">
        <v>115.6</v>
      </c>
    </row>
    <row r="110" s="6" customFormat="1" ht="23.5" customHeight="1" spans="1:9">
      <c r="A110" s="16" t="s">
        <v>278</v>
      </c>
      <c r="B110" s="17">
        <v>491.797115</v>
      </c>
      <c r="C110" s="34">
        <f t="shared" si="4"/>
        <v>8.4082</v>
      </c>
      <c r="D110" s="17">
        <v>8.4082</v>
      </c>
      <c r="E110" s="34"/>
      <c r="F110" s="34">
        <f t="shared" si="5"/>
        <v>500.205315</v>
      </c>
      <c r="G110" s="16"/>
      <c r="I110" s="6">
        <v>43.67</v>
      </c>
    </row>
    <row r="111" s="6" customFormat="1" ht="23.5" customHeight="1" spans="1:7">
      <c r="A111" s="16" t="s">
        <v>279</v>
      </c>
      <c r="B111" s="17">
        <v>132.82882</v>
      </c>
      <c r="C111" s="34">
        <f t="shared" si="4"/>
        <v>19.9788</v>
      </c>
      <c r="D111" s="17">
        <v>19.9788</v>
      </c>
      <c r="E111" s="34"/>
      <c r="F111" s="34">
        <f t="shared" si="5"/>
        <v>152.80762</v>
      </c>
      <c r="G111" s="33"/>
    </row>
    <row r="112" s="6" customFormat="1" ht="23.5" customHeight="1" spans="1:8">
      <c r="A112" s="16" t="s">
        <v>280</v>
      </c>
      <c r="B112" s="17">
        <v>362.200417</v>
      </c>
      <c r="C112" s="34">
        <f t="shared" si="4"/>
        <v>70.8501</v>
      </c>
      <c r="D112" s="17">
        <v>64.6501</v>
      </c>
      <c r="E112" s="34">
        <v>6.2</v>
      </c>
      <c r="F112" s="34">
        <f t="shared" si="5"/>
        <v>433.050517</v>
      </c>
      <c r="G112" s="33" t="s">
        <v>281</v>
      </c>
      <c r="H112" s="6">
        <v>33</v>
      </c>
    </row>
    <row r="113" s="6" customFormat="1" ht="23.5" customHeight="1" spans="1:8">
      <c r="A113" s="16" t="s">
        <v>282</v>
      </c>
      <c r="B113" s="17">
        <v>553.798667</v>
      </c>
      <c r="C113" s="34">
        <f t="shared" si="4"/>
        <v>61.348</v>
      </c>
      <c r="D113" s="17">
        <v>61.348</v>
      </c>
      <c r="E113" s="34"/>
      <c r="F113" s="34">
        <f t="shared" si="5"/>
        <v>615.146667</v>
      </c>
      <c r="G113" s="33"/>
      <c r="H113" s="6">
        <v>20</v>
      </c>
    </row>
    <row r="114" s="6" customFormat="1" ht="23.5" customHeight="1" spans="1:7">
      <c r="A114" s="16" t="s">
        <v>283</v>
      </c>
      <c r="B114" s="17">
        <v>2286.764766</v>
      </c>
      <c r="C114" s="34">
        <f t="shared" si="4"/>
        <v>356.70289</v>
      </c>
      <c r="D114" s="17">
        <v>316.70289</v>
      </c>
      <c r="E114" s="34">
        <v>40</v>
      </c>
      <c r="F114" s="34">
        <f t="shared" si="5"/>
        <v>2643.467656</v>
      </c>
      <c r="G114" s="33" t="s">
        <v>284</v>
      </c>
    </row>
    <row r="115" s="6" customFormat="1" ht="23.5" customHeight="1" spans="1:8">
      <c r="A115" s="16" t="s">
        <v>285</v>
      </c>
      <c r="B115" s="17">
        <v>1315.705004</v>
      </c>
      <c r="C115" s="34">
        <f t="shared" si="4"/>
        <v>187.38041</v>
      </c>
      <c r="D115" s="17">
        <v>181.38041</v>
      </c>
      <c r="E115" s="34">
        <v>6</v>
      </c>
      <c r="F115" s="34">
        <f t="shared" si="5"/>
        <v>1503.085414</v>
      </c>
      <c r="G115" s="33" t="s">
        <v>286</v>
      </c>
      <c r="H115" s="6">
        <v>140</v>
      </c>
    </row>
    <row r="116" s="6" customFormat="1" ht="23.5" customHeight="1" spans="1:7">
      <c r="A116" s="16" t="s">
        <v>287</v>
      </c>
      <c r="B116" s="17">
        <v>2546.583692</v>
      </c>
      <c r="C116" s="34">
        <f t="shared" si="4"/>
        <v>310.26552</v>
      </c>
      <c r="D116" s="17">
        <v>285.06552</v>
      </c>
      <c r="E116" s="34">
        <v>25.2</v>
      </c>
      <c r="F116" s="34">
        <f t="shared" si="5"/>
        <v>2856.849212</v>
      </c>
      <c r="G116" s="33" t="s">
        <v>288</v>
      </c>
    </row>
    <row r="117" s="6" customFormat="1" ht="23.5" customHeight="1" spans="1:7">
      <c r="A117" s="16" t="s">
        <v>289</v>
      </c>
      <c r="B117" s="17">
        <v>1112.56892</v>
      </c>
      <c r="C117" s="34">
        <f t="shared" si="4"/>
        <v>192.4545</v>
      </c>
      <c r="D117" s="17">
        <v>181.5545</v>
      </c>
      <c r="E117" s="34">
        <v>10.9</v>
      </c>
      <c r="F117" s="34">
        <f t="shared" si="5"/>
        <v>1305.02342</v>
      </c>
      <c r="G117" s="33" t="s">
        <v>290</v>
      </c>
    </row>
    <row r="118" s="6" customFormat="1" ht="23.5" customHeight="1" spans="1:7">
      <c r="A118" s="16" t="s">
        <v>291</v>
      </c>
      <c r="B118" s="17">
        <v>1480.379026</v>
      </c>
      <c r="C118" s="34">
        <f t="shared" si="4"/>
        <v>370.9144</v>
      </c>
      <c r="D118" s="17">
        <v>242.9824</v>
      </c>
      <c r="E118" s="34">
        <v>127.932</v>
      </c>
      <c r="F118" s="34">
        <f t="shared" si="5"/>
        <v>1851.293426</v>
      </c>
      <c r="G118" s="33" t="s">
        <v>292</v>
      </c>
    </row>
    <row r="119" s="6" customFormat="1" ht="23.5" customHeight="1" spans="1:7">
      <c r="A119" s="16" t="s">
        <v>293</v>
      </c>
      <c r="B119" s="17">
        <v>1183.603086</v>
      </c>
      <c r="C119" s="34">
        <f t="shared" si="4"/>
        <v>235.1952</v>
      </c>
      <c r="D119" s="17">
        <v>213.2952</v>
      </c>
      <c r="E119" s="34">
        <v>21.9</v>
      </c>
      <c r="F119" s="34">
        <f t="shared" si="5"/>
        <v>1418.798286</v>
      </c>
      <c r="G119" s="33" t="s">
        <v>294</v>
      </c>
    </row>
    <row r="120" s="6" customFormat="1" ht="23.5" customHeight="1" spans="1:7">
      <c r="A120" s="16" t="s">
        <v>295</v>
      </c>
      <c r="B120" s="17">
        <v>747.911486</v>
      </c>
      <c r="C120" s="34">
        <f t="shared" si="4"/>
        <v>78.8777</v>
      </c>
      <c r="D120" s="17">
        <v>64.8777</v>
      </c>
      <c r="E120" s="34">
        <v>14</v>
      </c>
      <c r="F120" s="34">
        <f t="shared" si="5"/>
        <v>826.789186</v>
      </c>
      <c r="G120" s="33" t="s">
        <v>296</v>
      </c>
    </row>
    <row r="121" s="6" customFormat="1" ht="23.5" customHeight="1" spans="1:7">
      <c r="A121" s="16" t="s">
        <v>297</v>
      </c>
      <c r="B121" s="17">
        <v>711.694974</v>
      </c>
      <c r="C121" s="34">
        <f t="shared" si="4"/>
        <v>108.7885</v>
      </c>
      <c r="D121" s="17">
        <v>104.1885</v>
      </c>
      <c r="E121" s="34">
        <v>4.6</v>
      </c>
      <c r="F121" s="34">
        <f t="shared" si="5"/>
        <v>820.483474</v>
      </c>
      <c r="G121" s="33" t="s">
        <v>298</v>
      </c>
    </row>
    <row r="122" s="6" customFormat="1" ht="23.5" customHeight="1" spans="1:7">
      <c r="A122" s="16" t="s">
        <v>74</v>
      </c>
      <c r="B122" s="17">
        <v>1321.099439</v>
      </c>
      <c r="C122" s="34">
        <f t="shared" si="4"/>
        <v>388.46078</v>
      </c>
      <c r="D122" s="17">
        <v>300.46078</v>
      </c>
      <c r="E122" s="34">
        <v>88</v>
      </c>
      <c r="F122" s="34">
        <f t="shared" si="5"/>
        <v>1709.560219</v>
      </c>
      <c r="G122" s="33" t="s">
        <v>299</v>
      </c>
    </row>
    <row r="123" s="6" customFormat="1" ht="23.5" customHeight="1" spans="1:7">
      <c r="A123" s="16" t="s">
        <v>300</v>
      </c>
      <c r="B123" s="17">
        <v>255.659746</v>
      </c>
      <c r="C123" s="34">
        <f t="shared" si="4"/>
        <v>68.132434</v>
      </c>
      <c r="D123" s="17">
        <v>60.832434</v>
      </c>
      <c r="E123" s="34">
        <v>7.3</v>
      </c>
      <c r="F123" s="34">
        <f t="shared" si="5"/>
        <v>323.79218</v>
      </c>
      <c r="G123" s="33" t="s">
        <v>301</v>
      </c>
    </row>
    <row r="124" s="6" customFormat="1" ht="23.5" customHeight="1" spans="1:7">
      <c r="A124" s="16" t="s">
        <v>302</v>
      </c>
      <c r="B124" s="17">
        <v>449.483207</v>
      </c>
      <c r="C124" s="34">
        <f t="shared" si="4"/>
        <v>36.208075</v>
      </c>
      <c r="D124" s="17">
        <v>36.208075</v>
      </c>
      <c r="E124" s="34"/>
      <c r="F124" s="34">
        <f t="shared" si="5"/>
        <v>485.691282</v>
      </c>
      <c r="G124" s="33"/>
    </row>
    <row r="125" s="6" customFormat="1" ht="23.5" customHeight="1" spans="1:9">
      <c r="A125" s="16" t="s">
        <v>303</v>
      </c>
      <c r="B125" s="17">
        <v>132.75</v>
      </c>
      <c r="C125" s="34">
        <f t="shared" si="4"/>
        <v>0</v>
      </c>
      <c r="D125" s="17"/>
      <c r="E125" s="34"/>
      <c r="F125" s="34">
        <f t="shared" si="5"/>
        <v>132.75</v>
      </c>
      <c r="G125" s="33"/>
      <c r="I125" s="6">
        <v>2271.98</v>
      </c>
    </row>
    <row r="126" s="6" customFormat="1" ht="23.5" customHeight="1" spans="1:7">
      <c r="A126" s="16" t="s">
        <v>304</v>
      </c>
      <c r="B126" s="17">
        <v>631.5</v>
      </c>
      <c r="C126" s="34">
        <f t="shared" si="4"/>
        <v>0</v>
      </c>
      <c r="D126" s="17"/>
      <c r="E126" s="34"/>
      <c r="F126" s="34">
        <f t="shared" si="5"/>
        <v>631.5</v>
      </c>
      <c r="G126" s="33"/>
    </row>
    <row r="127" s="6" customFormat="1" ht="23.5" customHeight="1" spans="1:9">
      <c r="A127" s="16" t="s">
        <v>60</v>
      </c>
      <c r="B127" s="17">
        <v>580.04</v>
      </c>
      <c r="C127" s="34">
        <f t="shared" si="4"/>
        <v>10</v>
      </c>
      <c r="D127" s="17"/>
      <c r="E127" s="34">
        <v>10</v>
      </c>
      <c r="F127" s="34">
        <f t="shared" si="5"/>
        <v>590.04</v>
      </c>
      <c r="G127" s="33" t="s">
        <v>405</v>
      </c>
      <c r="I127" s="6">
        <v>502</v>
      </c>
    </row>
    <row r="128" s="6" customFormat="1" ht="23.5" customHeight="1" spans="1:7">
      <c r="A128" s="16" t="s">
        <v>306</v>
      </c>
      <c r="B128" s="17">
        <v>34923.07</v>
      </c>
      <c r="C128" s="34">
        <f t="shared" si="4"/>
        <v>-1152.577</v>
      </c>
      <c r="D128" s="17"/>
      <c r="E128" s="6">
        <f>6.423-150+104.22+86.78-1200</f>
        <v>-1152.577</v>
      </c>
      <c r="F128" s="34">
        <f t="shared" si="5"/>
        <v>33770.493</v>
      </c>
      <c r="G128" s="33" t="s">
        <v>406</v>
      </c>
    </row>
    <row r="129" s="6" customFormat="1" ht="23.5" customHeight="1" spans="1:7">
      <c r="A129" s="16" t="s">
        <v>308</v>
      </c>
      <c r="B129" s="17">
        <v>52</v>
      </c>
      <c r="C129" s="34">
        <f t="shared" si="4"/>
        <v>0</v>
      </c>
      <c r="D129" s="17"/>
      <c r="E129" s="34"/>
      <c r="F129" s="34">
        <f t="shared" si="5"/>
        <v>52</v>
      </c>
      <c r="G129" s="33"/>
    </row>
    <row r="130" s="6" customFormat="1" ht="23.5" customHeight="1" spans="1:9">
      <c r="A130" s="16" t="s">
        <v>309</v>
      </c>
      <c r="B130" s="17">
        <v>26.24</v>
      </c>
      <c r="C130" s="34">
        <f t="shared" si="4"/>
        <v>0</v>
      </c>
      <c r="D130" s="17"/>
      <c r="E130" s="34"/>
      <c r="F130" s="34">
        <f t="shared" si="5"/>
        <v>26.24</v>
      </c>
      <c r="G130" s="33"/>
      <c r="I130" s="43">
        <v>806.13</v>
      </c>
    </row>
    <row r="131" s="6" customFormat="1" ht="23.5" customHeight="1" spans="1:7">
      <c r="A131" s="16" t="s">
        <v>310</v>
      </c>
      <c r="B131" s="17">
        <v>12</v>
      </c>
      <c r="C131" s="34">
        <f t="shared" si="4"/>
        <v>0</v>
      </c>
      <c r="D131" s="17"/>
      <c r="E131" s="34"/>
      <c r="F131" s="34">
        <f t="shared" si="5"/>
        <v>12</v>
      </c>
      <c r="G131" s="33"/>
    </row>
    <row r="132" s="6" customFormat="1" ht="23.5" customHeight="1" spans="1:7">
      <c r="A132" s="16" t="s">
        <v>311</v>
      </c>
      <c r="B132" s="17">
        <v>20</v>
      </c>
      <c r="C132" s="34">
        <f t="shared" si="4"/>
        <v>0</v>
      </c>
      <c r="D132" s="17"/>
      <c r="E132" s="34"/>
      <c r="F132" s="34">
        <f t="shared" si="5"/>
        <v>20</v>
      </c>
      <c r="G132" s="33"/>
    </row>
    <row r="133" s="6" customFormat="1" ht="23.5" customHeight="1" spans="1:7">
      <c r="A133" s="16" t="s">
        <v>312</v>
      </c>
      <c r="B133" s="17">
        <v>7.8</v>
      </c>
      <c r="C133" s="34">
        <f t="shared" si="4"/>
        <v>0</v>
      </c>
      <c r="D133" s="17"/>
      <c r="E133" s="34"/>
      <c r="F133" s="34">
        <f t="shared" si="5"/>
        <v>7.8</v>
      </c>
      <c r="G133" s="33"/>
    </row>
    <row r="134" s="6" customFormat="1" ht="23.5" customHeight="1" spans="1:7">
      <c r="A134" s="16" t="s">
        <v>313</v>
      </c>
      <c r="B134" s="17">
        <v>6.4</v>
      </c>
      <c r="C134" s="34">
        <f t="shared" si="4"/>
        <v>0</v>
      </c>
      <c r="D134" s="17"/>
      <c r="E134" s="34"/>
      <c r="F134" s="34">
        <f t="shared" si="5"/>
        <v>6.4</v>
      </c>
      <c r="G134" s="33"/>
    </row>
    <row r="135" s="6" customFormat="1" ht="23.5" customHeight="1" spans="1:8">
      <c r="A135" s="16" t="s">
        <v>314</v>
      </c>
      <c r="B135" s="17">
        <v>17.4</v>
      </c>
      <c r="C135" s="34">
        <f t="shared" si="4"/>
        <v>0</v>
      </c>
      <c r="D135" s="17"/>
      <c r="E135" s="34"/>
      <c r="F135" s="34">
        <f t="shared" ref="F135:F143" si="6">B135+C135</f>
        <v>17.4</v>
      </c>
      <c r="G135" s="33"/>
      <c r="H135" s="38">
        <v>539.15</v>
      </c>
    </row>
    <row r="136" s="6" customFormat="1" ht="23.5" customHeight="1" spans="1:8">
      <c r="A136" s="16" t="s">
        <v>315</v>
      </c>
      <c r="B136" s="17">
        <v>22</v>
      </c>
      <c r="C136" s="34">
        <f t="shared" ref="C136:C145" si="7">D136+E136</f>
        <v>0</v>
      </c>
      <c r="D136" s="17"/>
      <c r="E136" s="34"/>
      <c r="F136" s="34">
        <f t="shared" si="6"/>
        <v>22</v>
      </c>
      <c r="G136" s="33"/>
      <c r="H136" s="38">
        <v>135</v>
      </c>
    </row>
    <row r="137" s="6" customFormat="1" ht="23.5" customHeight="1" spans="1:9">
      <c r="A137" s="16" t="s">
        <v>316</v>
      </c>
      <c r="B137" s="17">
        <v>8</v>
      </c>
      <c r="C137" s="34">
        <f t="shared" si="7"/>
        <v>0</v>
      </c>
      <c r="D137" s="17"/>
      <c r="E137" s="34"/>
      <c r="F137" s="34">
        <f t="shared" si="6"/>
        <v>8</v>
      </c>
      <c r="G137" s="39"/>
      <c r="H137" s="6">
        <v>134.82</v>
      </c>
      <c r="I137" s="6">
        <v>188.93</v>
      </c>
    </row>
    <row r="138" s="6" customFormat="1" ht="23.5" customHeight="1" spans="1:8">
      <c r="A138" s="16" t="s">
        <v>317</v>
      </c>
      <c r="B138" s="17">
        <v>2</v>
      </c>
      <c r="C138" s="34">
        <f t="shared" si="7"/>
        <v>0</v>
      </c>
      <c r="D138" s="17"/>
      <c r="E138" s="34"/>
      <c r="F138" s="34">
        <f t="shared" si="6"/>
        <v>2</v>
      </c>
      <c r="G138" s="39"/>
      <c r="H138" s="38">
        <v>89.7</v>
      </c>
    </row>
    <row r="139" s="6" customFormat="1" ht="23.5" customHeight="1" spans="1:8">
      <c r="A139" s="16" t="s">
        <v>318</v>
      </c>
      <c r="B139" s="17">
        <v>12</v>
      </c>
      <c r="C139" s="34">
        <f t="shared" si="7"/>
        <v>0</v>
      </c>
      <c r="D139" s="17"/>
      <c r="E139" s="34"/>
      <c r="F139" s="34">
        <f t="shared" si="6"/>
        <v>12</v>
      </c>
      <c r="G139" s="39"/>
      <c r="H139" s="38">
        <v>157.65</v>
      </c>
    </row>
    <row r="140" s="6" customFormat="1" ht="23.5" customHeight="1" spans="1:9">
      <c r="A140" s="16" t="s">
        <v>319</v>
      </c>
      <c r="B140" s="17">
        <v>2770</v>
      </c>
      <c r="C140" s="34">
        <f t="shared" si="7"/>
        <v>0</v>
      </c>
      <c r="D140" s="17"/>
      <c r="E140" s="34"/>
      <c r="F140" s="34">
        <f t="shared" si="6"/>
        <v>2770</v>
      </c>
      <c r="G140" s="39"/>
      <c r="H140" s="6">
        <v>76.66</v>
      </c>
      <c r="I140" s="6">
        <v>204</v>
      </c>
    </row>
    <row r="141" s="6" customFormat="1" ht="23.5" customHeight="1" spans="1:8">
      <c r="A141" s="16" t="s">
        <v>320</v>
      </c>
      <c r="B141" s="17">
        <v>156</v>
      </c>
      <c r="C141" s="34">
        <f t="shared" si="7"/>
        <v>0</v>
      </c>
      <c r="D141" s="17"/>
      <c r="E141" s="34"/>
      <c r="F141" s="34">
        <f t="shared" si="6"/>
        <v>156</v>
      </c>
      <c r="G141" s="39"/>
      <c r="H141" s="38">
        <v>86.95</v>
      </c>
    </row>
    <row r="142" s="6" customFormat="1" ht="23.5" customHeight="1" spans="1:8">
      <c r="A142" s="16" t="s">
        <v>321</v>
      </c>
      <c r="B142" s="17">
        <v>98</v>
      </c>
      <c r="C142" s="34">
        <f t="shared" si="7"/>
        <v>0</v>
      </c>
      <c r="D142" s="17"/>
      <c r="E142" s="34"/>
      <c r="F142" s="34">
        <f t="shared" si="6"/>
        <v>98</v>
      </c>
      <c r="G142" s="33"/>
      <c r="H142" s="38">
        <v>140.03</v>
      </c>
    </row>
    <row r="143" s="6" customFormat="1" ht="23.5" customHeight="1" spans="1:8">
      <c r="A143" s="16" t="s">
        <v>322</v>
      </c>
      <c r="B143" s="17"/>
      <c r="C143" s="34">
        <f t="shared" si="7"/>
        <v>40</v>
      </c>
      <c r="D143" s="17"/>
      <c r="E143" s="34">
        <v>40</v>
      </c>
      <c r="F143" s="34">
        <f t="shared" si="6"/>
        <v>40</v>
      </c>
      <c r="G143" s="33" t="s">
        <v>323</v>
      </c>
      <c r="H143" s="38"/>
    </row>
    <row r="144" s="6" customFormat="1" ht="23.5" customHeight="1" spans="1:8">
      <c r="A144" s="16" t="s">
        <v>324</v>
      </c>
      <c r="B144" s="17">
        <f>SUM(B145:B207)</f>
        <v>38870.46</v>
      </c>
      <c r="C144" s="34">
        <f t="shared" si="7"/>
        <v>-1972.037326</v>
      </c>
      <c r="D144" s="17">
        <f>SUM(D145:D207)</f>
        <v>-6213.727825</v>
      </c>
      <c r="E144" s="17">
        <f>SUM(E145:E207)</f>
        <v>4241.690499</v>
      </c>
      <c r="F144" s="34">
        <f t="shared" ref="F144:F207" si="8">B144+C144</f>
        <v>36898.422674</v>
      </c>
      <c r="G144" s="39"/>
      <c r="H144" s="38">
        <v>91.85</v>
      </c>
    </row>
    <row r="145" s="6" customFormat="1" ht="23.5" customHeight="1" spans="1:7">
      <c r="A145" s="16" t="s">
        <v>325</v>
      </c>
      <c r="B145" s="17">
        <v>1000</v>
      </c>
      <c r="C145" s="34">
        <f t="shared" si="7"/>
        <v>0</v>
      </c>
      <c r="D145" s="17"/>
      <c r="E145" s="38"/>
      <c r="F145" s="34">
        <f t="shared" si="8"/>
        <v>1000</v>
      </c>
      <c r="G145" s="33"/>
    </row>
    <row r="146" s="6" customFormat="1" ht="23.5" customHeight="1" spans="1:7">
      <c r="A146" s="16" t="s">
        <v>326</v>
      </c>
      <c r="B146" s="17">
        <v>80</v>
      </c>
      <c r="C146" s="34">
        <f t="shared" ref="C146:C177" si="9">D146+E146</f>
        <v>0</v>
      </c>
      <c r="D146" s="17"/>
      <c r="E146" s="38"/>
      <c r="F146" s="34">
        <f t="shared" si="8"/>
        <v>80</v>
      </c>
      <c r="G146" s="39"/>
    </row>
    <row r="147" s="6" customFormat="1" ht="23.5" customHeight="1" spans="1:7">
      <c r="A147" s="16" t="s">
        <v>327</v>
      </c>
      <c r="B147" s="17">
        <v>4</v>
      </c>
      <c r="C147" s="34">
        <f t="shared" si="9"/>
        <v>0</v>
      </c>
      <c r="D147" s="17"/>
      <c r="E147" s="38"/>
      <c r="F147" s="34">
        <f t="shared" si="8"/>
        <v>4</v>
      </c>
      <c r="G147" s="33"/>
    </row>
    <row r="148" s="6" customFormat="1" ht="23.5" customHeight="1" spans="1:7">
      <c r="A148" s="16" t="s">
        <v>328</v>
      </c>
      <c r="B148" s="17">
        <v>144</v>
      </c>
      <c r="C148" s="34">
        <f t="shared" si="9"/>
        <v>0</v>
      </c>
      <c r="D148" s="17"/>
      <c r="E148" s="38"/>
      <c r="F148" s="34">
        <f t="shared" si="8"/>
        <v>144</v>
      </c>
      <c r="G148" s="33"/>
    </row>
    <row r="149" s="6" customFormat="1" ht="23.5" customHeight="1" spans="1:7">
      <c r="A149" s="16" t="s">
        <v>329</v>
      </c>
      <c r="B149" s="17">
        <v>15</v>
      </c>
      <c r="C149" s="34">
        <f t="shared" si="9"/>
        <v>0</v>
      </c>
      <c r="D149" s="17"/>
      <c r="E149" s="38"/>
      <c r="F149" s="34">
        <f t="shared" si="8"/>
        <v>15</v>
      </c>
      <c r="G149" s="33"/>
    </row>
    <row r="150" s="6" customFormat="1" ht="23.5" customHeight="1" spans="1:7">
      <c r="A150" s="16" t="s">
        <v>330</v>
      </c>
      <c r="B150" s="17">
        <v>200</v>
      </c>
      <c r="C150" s="34">
        <f t="shared" si="9"/>
        <v>0</v>
      </c>
      <c r="D150" s="17"/>
      <c r="E150" s="38"/>
      <c r="F150" s="34">
        <f t="shared" si="8"/>
        <v>200</v>
      </c>
      <c r="G150" s="33"/>
    </row>
    <row r="151" s="6" customFormat="1" ht="23.5" customHeight="1" spans="1:7">
      <c r="A151" s="16" t="s">
        <v>331</v>
      </c>
      <c r="B151" s="17">
        <v>1000</v>
      </c>
      <c r="C151" s="34">
        <f t="shared" si="9"/>
        <v>0</v>
      </c>
      <c r="D151" s="17"/>
      <c r="E151" s="38"/>
      <c r="F151" s="34">
        <f t="shared" si="8"/>
        <v>1000</v>
      </c>
      <c r="G151" s="33"/>
    </row>
    <row r="152" s="6" customFormat="1" ht="23.5" customHeight="1" spans="1:7">
      <c r="A152" s="16" t="s">
        <v>332</v>
      </c>
      <c r="B152" s="17">
        <v>3000</v>
      </c>
      <c r="C152" s="34">
        <f t="shared" si="9"/>
        <v>0</v>
      </c>
      <c r="D152" s="17"/>
      <c r="E152" s="38"/>
      <c r="F152" s="34">
        <f t="shared" si="8"/>
        <v>3000</v>
      </c>
      <c r="G152" s="33"/>
    </row>
    <row r="153" s="6" customFormat="1" ht="23.5" customHeight="1" spans="1:7">
      <c r="A153" s="16" t="s">
        <v>333</v>
      </c>
      <c r="B153" s="17">
        <v>154</v>
      </c>
      <c r="C153" s="34">
        <f t="shared" si="9"/>
        <v>0</v>
      </c>
      <c r="D153" s="17"/>
      <c r="E153" s="38"/>
      <c r="F153" s="34">
        <f t="shared" si="8"/>
        <v>154</v>
      </c>
      <c r="G153" s="35"/>
    </row>
    <row r="154" s="6" customFormat="1" ht="23.5" customHeight="1" spans="1:7">
      <c r="A154" s="16" t="s">
        <v>334</v>
      </c>
      <c r="B154" s="17">
        <v>300</v>
      </c>
      <c r="C154" s="34">
        <f t="shared" si="9"/>
        <v>0</v>
      </c>
      <c r="D154" s="38"/>
      <c r="E154" s="38"/>
      <c r="F154" s="34">
        <f t="shared" si="8"/>
        <v>300</v>
      </c>
      <c r="G154" s="33"/>
    </row>
    <row r="155" s="6" customFormat="1" ht="23.5" customHeight="1" spans="1:7">
      <c r="A155" s="16" t="s">
        <v>335</v>
      </c>
      <c r="B155" s="17">
        <v>7248.16</v>
      </c>
      <c r="C155" s="34">
        <f t="shared" si="9"/>
        <v>-842.2235</v>
      </c>
      <c r="D155" s="38"/>
      <c r="E155" s="38">
        <v>-842.2235</v>
      </c>
      <c r="F155" s="34">
        <f t="shared" si="8"/>
        <v>6405.9365</v>
      </c>
      <c r="G155" s="33"/>
    </row>
    <row r="156" s="6" customFormat="1" ht="23.5" customHeight="1" spans="1:7">
      <c r="A156" s="16" t="s">
        <v>336</v>
      </c>
      <c r="B156" s="17">
        <v>1000</v>
      </c>
      <c r="C156" s="34">
        <f t="shared" si="9"/>
        <v>0</v>
      </c>
      <c r="D156" s="38"/>
      <c r="E156" s="38"/>
      <c r="F156" s="34">
        <f t="shared" si="8"/>
        <v>1000</v>
      </c>
      <c r="G156" s="33"/>
    </row>
    <row r="157" s="6" customFormat="1" ht="23.5" customHeight="1" spans="1:7">
      <c r="A157" s="16" t="s">
        <v>337</v>
      </c>
      <c r="B157" s="17">
        <v>240</v>
      </c>
      <c r="C157" s="34">
        <f t="shared" si="9"/>
        <v>0</v>
      </c>
      <c r="D157" s="17"/>
      <c r="E157" s="17"/>
      <c r="F157" s="34">
        <f t="shared" si="8"/>
        <v>240</v>
      </c>
      <c r="G157" s="33"/>
    </row>
    <row r="158" s="6" customFormat="1" ht="23.5" customHeight="1" spans="1:7">
      <c r="A158" s="16" t="s">
        <v>338</v>
      </c>
      <c r="B158" s="17">
        <v>88</v>
      </c>
      <c r="C158" s="34">
        <f t="shared" si="9"/>
        <v>0</v>
      </c>
      <c r="D158" s="38"/>
      <c r="E158" s="38"/>
      <c r="F158" s="34">
        <f t="shared" si="8"/>
        <v>88</v>
      </c>
      <c r="G158" s="33"/>
    </row>
    <row r="159" s="6" customFormat="1" ht="23.5" customHeight="1" spans="1:7">
      <c r="A159" s="16" t="s">
        <v>339</v>
      </c>
      <c r="B159" s="17">
        <v>407.12</v>
      </c>
      <c r="C159" s="34">
        <f t="shared" si="9"/>
        <v>0</v>
      </c>
      <c r="D159" s="38"/>
      <c r="E159" s="38"/>
      <c r="F159" s="34">
        <f t="shared" si="8"/>
        <v>407.12</v>
      </c>
      <c r="G159" s="33"/>
    </row>
    <row r="160" s="6" customFormat="1" ht="23.5" customHeight="1" spans="1:7">
      <c r="A160" s="16" t="s">
        <v>340</v>
      </c>
      <c r="B160" s="17">
        <v>4700</v>
      </c>
      <c r="C160" s="34">
        <f t="shared" si="9"/>
        <v>-3932.73111</v>
      </c>
      <c r="D160" s="38">
        <v>-3932.73111</v>
      </c>
      <c r="E160" s="38"/>
      <c r="F160" s="34">
        <f t="shared" si="8"/>
        <v>767.26889</v>
      </c>
      <c r="G160" s="33" t="s">
        <v>341</v>
      </c>
    </row>
    <row r="161" s="6" customFormat="1" ht="23.5" customHeight="1" spans="1:7">
      <c r="A161" s="16" t="s">
        <v>342</v>
      </c>
      <c r="B161" s="17">
        <v>28</v>
      </c>
      <c r="C161" s="34">
        <f t="shared" si="9"/>
        <v>0</v>
      </c>
      <c r="D161" s="38"/>
      <c r="E161" s="38"/>
      <c r="F161" s="34">
        <f t="shared" si="8"/>
        <v>28</v>
      </c>
      <c r="G161" s="33"/>
    </row>
    <row r="162" s="6" customFormat="1" ht="23.5" customHeight="1" spans="1:7">
      <c r="A162" s="16" t="s">
        <v>343</v>
      </c>
      <c r="B162" s="17">
        <v>144</v>
      </c>
      <c r="C162" s="34">
        <f t="shared" si="9"/>
        <v>77.68</v>
      </c>
      <c r="D162" s="38"/>
      <c r="E162" s="38">
        <v>77.68</v>
      </c>
      <c r="F162" s="34">
        <f t="shared" si="8"/>
        <v>221.68</v>
      </c>
      <c r="G162" s="33"/>
    </row>
    <row r="163" s="6" customFormat="1" ht="23.5" customHeight="1" spans="1:7">
      <c r="A163" s="16" t="s">
        <v>344</v>
      </c>
      <c r="B163" s="17">
        <v>200</v>
      </c>
      <c r="C163" s="34">
        <f t="shared" si="9"/>
        <v>0</v>
      </c>
      <c r="D163" s="38"/>
      <c r="E163" s="38"/>
      <c r="F163" s="34">
        <f t="shared" si="8"/>
        <v>200</v>
      </c>
      <c r="G163" s="33"/>
    </row>
    <row r="164" s="6" customFormat="1" ht="23.5" customHeight="1" spans="1:7">
      <c r="A164" s="16" t="s">
        <v>345</v>
      </c>
      <c r="B164" s="17">
        <v>50</v>
      </c>
      <c r="C164" s="34">
        <f t="shared" si="9"/>
        <v>0</v>
      </c>
      <c r="D164" s="38"/>
      <c r="E164" s="38"/>
      <c r="F164" s="34">
        <f t="shared" si="8"/>
        <v>50</v>
      </c>
      <c r="G164" s="35"/>
    </row>
    <row r="165" s="6" customFormat="1" ht="23.5" customHeight="1" spans="1:7">
      <c r="A165" s="16" t="s">
        <v>346</v>
      </c>
      <c r="B165" s="17">
        <v>240</v>
      </c>
      <c r="C165" s="34">
        <f t="shared" si="9"/>
        <v>489</v>
      </c>
      <c r="D165" s="38"/>
      <c r="E165" s="38">
        <f>400+89</f>
        <v>489</v>
      </c>
      <c r="F165" s="34">
        <f t="shared" si="8"/>
        <v>729</v>
      </c>
      <c r="G165" s="33"/>
    </row>
    <row r="166" s="6" customFormat="1" ht="23.5" customHeight="1" spans="1:7">
      <c r="A166" s="16" t="s">
        <v>347</v>
      </c>
      <c r="B166" s="17">
        <v>800</v>
      </c>
      <c r="C166" s="34">
        <f t="shared" si="9"/>
        <v>-800</v>
      </c>
      <c r="D166" s="38"/>
      <c r="E166" s="38">
        <v>-800</v>
      </c>
      <c r="F166" s="34">
        <f t="shared" si="8"/>
        <v>0</v>
      </c>
      <c r="G166" s="33" t="s">
        <v>348</v>
      </c>
    </row>
    <row r="167" s="6" customFormat="1" ht="23.5" customHeight="1" spans="1:7">
      <c r="A167" s="16" t="s">
        <v>349</v>
      </c>
      <c r="B167" s="17">
        <v>150</v>
      </c>
      <c r="C167" s="34">
        <f t="shared" si="9"/>
        <v>0</v>
      </c>
      <c r="D167" s="38"/>
      <c r="E167" s="38"/>
      <c r="F167" s="34">
        <f t="shared" si="8"/>
        <v>150</v>
      </c>
      <c r="G167" s="40"/>
    </row>
    <row r="168" s="6" customFormat="1" ht="23.5" customHeight="1" spans="1:7">
      <c r="A168" s="16" t="s">
        <v>350</v>
      </c>
      <c r="B168" s="17">
        <v>410</v>
      </c>
      <c r="C168" s="34">
        <f t="shared" si="9"/>
        <v>0</v>
      </c>
      <c r="D168" s="38"/>
      <c r="E168" s="38"/>
      <c r="F168" s="34">
        <f t="shared" si="8"/>
        <v>410</v>
      </c>
      <c r="G168" s="33"/>
    </row>
    <row r="169" s="6" customFormat="1" ht="23.5" customHeight="1" spans="1:7">
      <c r="A169" s="16" t="s">
        <v>351</v>
      </c>
      <c r="B169" s="17">
        <v>35</v>
      </c>
      <c r="C169" s="34">
        <f t="shared" si="9"/>
        <v>0</v>
      </c>
      <c r="D169" s="38"/>
      <c r="E169" s="38"/>
      <c r="F169" s="34">
        <f t="shared" si="8"/>
        <v>35</v>
      </c>
      <c r="G169" s="40"/>
    </row>
    <row r="170" s="6" customFormat="1" ht="23.5" customHeight="1" spans="1:7">
      <c r="A170" s="16" t="s">
        <v>352</v>
      </c>
      <c r="B170" s="17">
        <v>723.36</v>
      </c>
      <c r="C170" s="34">
        <f t="shared" si="9"/>
        <v>400</v>
      </c>
      <c r="D170" s="38"/>
      <c r="E170" s="38">
        <v>400</v>
      </c>
      <c r="F170" s="34">
        <f t="shared" si="8"/>
        <v>1123.36</v>
      </c>
      <c r="G170" s="40"/>
    </row>
    <row r="171" s="6" customFormat="1" ht="23.5" customHeight="1" spans="1:7">
      <c r="A171" s="16" t="s">
        <v>353</v>
      </c>
      <c r="B171" s="17">
        <v>200</v>
      </c>
      <c r="C171" s="34">
        <f t="shared" si="9"/>
        <v>0</v>
      </c>
      <c r="D171" s="38"/>
      <c r="E171" s="38"/>
      <c r="F171" s="34">
        <f t="shared" si="8"/>
        <v>200</v>
      </c>
      <c r="G171" s="33"/>
    </row>
    <row r="172" s="6" customFormat="1" ht="23.5" customHeight="1" spans="1:7">
      <c r="A172" s="16" t="s">
        <v>354</v>
      </c>
      <c r="B172" s="17">
        <v>225.82</v>
      </c>
      <c r="C172" s="34">
        <f t="shared" si="9"/>
        <v>0</v>
      </c>
      <c r="D172" s="38"/>
      <c r="E172" s="38"/>
      <c r="F172" s="34">
        <f t="shared" si="8"/>
        <v>225.82</v>
      </c>
      <c r="G172" s="33"/>
    </row>
    <row r="173" s="6" customFormat="1" ht="23.5" customHeight="1" spans="1:7">
      <c r="A173" s="16" t="s">
        <v>355</v>
      </c>
      <c r="B173" s="17">
        <v>80</v>
      </c>
      <c r="C173" s="34">
        <f t="shared" si="9"/>
        <v>0</v>
      </c>
      <c r="D173" s="38"/>
      <c r="E173" s="38"/>
      <c r="F173" s="34">
        <f t="shared" si="8"/>
        <v>80</v>
      </c>
      <c r="G173" s="33"/>
    </row>
    <row r="174" s="6" customFormat="1" ht="23.5" customHeight="1" spans="1:7">
      <c r="A174" s="16" t="s">
        <v>356</v>
      </c>
      <c r="B174" s="17">
        <v>25</v>
      </c>
      <c r="C174" s="34">
        <f t="shared" si="9"/>
        <v>5.734999</v>
      </c>
      <c r="D174" s="38"/>
      <c r="E174" s="38">
        <v>5.734999</v>
      </c>
      <c r="F174" s="34">
        <f t="shared" si="8"/>
        <v>30.734999</v>
      </c>
      <c r="G174" s="40"/>
    </row>
    <row r="175" s="6" customFormat="1" ht="23.5" customHeight="1" spans="1:7">
      <c r="A175" s="16" t="s">
        <v>357</v>
      </c>
      <c r="B175" s="17">
        <v>44</v>
      </c>
      <c r="C175" s="34">
        <f t="shared" si="9"/>
        <v>0</v>
      </c>
      <c r="D175" s="38"/>
      <c r="E175" s="38"/>
      <c r="F175" s="34">
        <f t="shared" si="8"/>
        <v>44</v>
      </c>
      <c r="G175" s="40"/>
    </row>
    <row r="176" s="6" customFormat="1" ht="23.5" customHeight="1" spans="1:7">
      <c r="A176" s="16" t="s">
        <v>358</v>
      </c>
      <c r="B176" s="17">
        <v>45</v>
      </c>
      <c r="C176" s="34">
        <f t="shared" si="9"/>
        <v>0</v>
      </c>
      <c r="D176" s="38"/>
      <c r="E176" s="38"/>
      <c r="F176" s="34">
        <f t="shared" si="8"/>
        <v>45</v>
      </c>
      <c r="G176" s="33"/>
    </row>
    <row r="177" s="6" customFormat="1" ht="23.5" customHeight="1" spans="1:7">
      <c r="A177" s="16" t="s">
        <v>359</v>
      </c>
      <c r="B177" s="17">
        <v>350</v>
      </c>
      <c r="C177" s="34">
        <f t="shared" si="9"/>
        <v>0</v>
      </c>
      <c r="D177" s="38"/>
      <c r="E177" s="38"/>
      <c r="F177" s="34">
        <f t="shared" si="8"/>
        <v>350</v>
      </c>
      <c r="G177" s="18"/>
    </row>
    <row r="178" s="6" customFormat="1" ht="23.5" customHeight="1" spans="1:7">
      <c r="A178" s="16" t="s">
        <v>360</v>
      </c>
      <c r="B178" s="17">
        <v>58</v>
      </c>
      <c r="C178" s="34">
        <f t="shared" ref="C178:C207" si="10">D178+E178</f>
        <v>0</v>
      </c>
      <c r="D178" s="38"/>
      <c r="E178" s="38"/>
      <c r="F178" s="34">
        <f t="shared" si="8"/>
        <v>58</v>
      </c>
      <c r="G178" s="33"/>
    </row>
    <row r="179" s="6" customFormat="1" ht="23.5" customHeight="1" spans="1:7">
      <c r="A179" s="16" t="s">
        <v>361</v>
      </c>
      <c r="B179" s="17">
        <v>50</v>
      </c>
      <c r="C179" s="34">
        <f t="shared" si="10"/>
        <v>13.8</v>
      </c>
      <c r="D179" s="38"/>
      <c r="E179" s="38">
        <v>13.8</v>
      </c>
      <c r="F179" s="34">
        <f t="shared" si="8"/>
        <v>63.8</v>
      </c>
      <c r="G179" s="40"/>
    </row>
    <row r="180" s="6" customFormat="1" ht="23.5" customHeight="1" spans="1:7">
      <c r="A180" s="16" t="s">
        <v>362</v>
      </c>
      <c r="B180" s="17">
        <v>120</v>
      </c>
      <c r="C180" s="34">
        <f t="shared" si="10"/>
        <v>0</v>
      </c>
      <c r="D180" s="38"/>
      <c r="E180" s="38"/>
      <c r="F180" s="34">
        <f t="shared" si="8"/>
        <v>120</v>
      </c>
      <c r="G180" s="33"/>
    </row>
    <row r="181" s="6" customFormat="1" ht="23.5" customHeight="1" spans="1:7">
      <c r="A181" s="16" t="s">
        <v>363</v>
      </c>
      <c r="B181" s="17">
        <v>595</v>
      </c>
      <c r="C181" s="34">
        <f t="shared" si="10"/>
        <v>0</v>
      </c>
      <c r="D181" s="38"/>
      <c r="E181" s="38"/>
      <c r="F181" s="34">
        <f t="shared" si="8"/>
        <v>595</v>
      </c>
      <c r="G181" s="33"/>
    </row>
    <row r="182" s="6" customFormat="1" ht="23.5" customHeight="1" spans="1:7">
      <c r="A182" s="16" t="s">
        <v>364</v>
      </c>
      <c r="B182" s="17">
        <v>1100</v>
      </c>
      <c r="C182" s="34">
        <f t="shared" si="10"/>
        <v>0</v>
      </c>
      <c r="D182" s="41"/>
      <c r="E182" s="34"/>
      <c r="F182" s="34">
        <f t="shared" si="8"/>
        <v>1100</v>
      </c>
      <c r="G182" s="18"/>
    </row>
    <row r="183" s="6" customFormat="1" ht="23.5" customHeight="1" spans="1:7">
      <c r="A183" s="16" t="s">
        <v>365</v>
      </c>
      <c r="B183" s="17">
        <v>70</v>
      </c>
      <c r="C183" s="34">
        <f t="shared" si="10"/>
        <v>0</v>
      </c>
      <c r="D183" s="41"/>
      <c r="E183" s="34"/>
      <c r="F183" s="34">
        <f t="shared" si="8"/>
        <v>70</v>
      </c>
      <c r="G183" s="18"/>
    </row>
    <row r="184" s="6" customFormat="1" ht="23.5" customHeight="1" spans="1:7">
      <c r="A184" s="16" t="s">
        <v>366</v>
      </c>
      <c r="B184" s="17">
        <v>30</v>
      </c>
      <c r="C184" s="34">
        <f t="shared" si="10"/>
        <v>0</v>
      </c>
      <c r="D184" s="41"/>
      <c r="E184" s="34"/>
      <c r="F184" s="34">
        <f t="shared" si="8"/>
        <v>30</v>
      </c>
      <c r="G184" s="18"/>
    </row>
    <row r="185" s="6" customFormat="1" ht="23.5" customHeight="1" spans="1:7">
      <c r="A185" s="16" t="s">
        <v>367</v>
      </c>
      <c r="B185" s="17">
        <v>60</v>
      </c>
      <c r="C185" s="34">
        <f t="shared" si="10"/>
        <v>0</v>
      </c>
      <c r="D185" s="41"/>
      <c r="E185" s="34"/>
      <c r="F185" s="34">
        <f t="shared" si="8"/>
        <v>60</v>
      </c>
      <c r="G185" s="33"/>
    </row>
    <row r="186" s="6" customFormat="1" ht="23.5" customHeight="1" spans="1:7">
      <c r="A186" s="16" t="s">
        <v>368</v>
      </c>
      <c r="B186" s="17">
        <v>1000</v>
      </c>
      <c r="C186" s="34">
        <f t="shared" si="10"/>
        <v>0</v>
      </c>
      <c r="D186" s="41"/>
      <c r="E186" s="42"/>
      <c r="F186" s="34">
        <f t="shared" si="8"/>
        <v>1000</v>
      </c>
      <c r="G186" s="33"/>
    </row>
    <row r="187" s="6" customFormat="1" ht="23.5" customHeight="1" spans="1:7">
      <c r="A187" s="16" t="s">
        <v>369</v>
      </c>
      <c r="B187" s="17">
        <v>43.4</v>
      </c>
      <c r="C187" s="34">
        <f t="shared" si="10"/>
        <v>0</v>
      </c>
      <c r="D187" s="41"/>
      <c r="E187" s="42"/>
      <c r="F187" s="34">
        <f t="shared" si="8"/>
        <v>43.4</v>
      </c>
      <c r="G187" s="33"/>
    </row>
    <row r="188" s="6" customFormat="1" ht="23.5" customHeight="1" spans="1:7">
      <c r="A188" s="16" t="s">
        <v>370</v>
      </c>
      <c r="B188" s="17">
        <v>500</v>
      </c>
      <c r="C188" s="34">
        <f t="shared" si="10"/>
        <v>0</v>
      </c>
      <c r="D188" s="41"/>
      <c r="E188" s="34"/>
      <c r="F188" s="34">
        <f t="shared" si="8"/>
        <v>500</v>
      </c>
      <c r="G188" s="33"/>
    </row>
    <row r="189" s="6" customFormat="1" ht="23.5" customHeight="1" spans="1:7">
      <c r="A189" s="16" t="s">
        <v>371</v>
      </c>
      <c r="B189" s="17">
        <v>1200</v>
      </c>
      <c r="C189" s="34">
        <f t="shared" si="10"/>
        <v>0</v>
      </c>
      <c r="D189" s="41"/>
      <c r="E189" s="34"/>
      <c r="F189" s="34">
        <f t="shared" si="8"/>
        <v>1200</v>
      </c>
      <c r="G189" s="33"/>
    </row>
    <row r="190" s="6" customFormat="1" ht="23.5" customHeight="1" spans="1:7">
      <c r="A190" s="16" t="s">
        <v>372</v>
      </c>
      <c r="B190" s="17">
        <v>109.2</v>
      </c>
      <c r="C190" s="34">
        <f t="shared" si="10"/>
        <v>0</v>
      </c>
      <c r="D190" s="41"/>
      <c r="E190" s="34"/>
      <c r="F190" s="34">
        <f t="shared" si="8"/>
        <v>109.2</v>
      </c>
      <c r="G190" s="35"/>
    </row>
    <row r="191" s="6" customFormat="1" ht="23.5" customHeight="1" spans="1:7">
      <c r="A191" s="16" t="s">
        <v>373</v>
      </c>
      <c r="B191" s="17">
        <v>3</v>
      </c>
      <c r="C191" s="34">
        <f t="shared" si="10"/>
        <v>0</v>
      </c>
      <c r="D191" s="41"/>
      <c r="E191" s="42"/>
      <c r="F191" s="34">
        <f t="shared" si="8"/>
        <v>3</v>
      </c>
      <c r="G191" s="18"/>
    </row>
    <row r="192" s="6" customFormat="1" ht="23.5" customHeight="1" spans="1:7">
      <c r="A192" s="16" t="s">
        <v>374</v>
      </c>
      <c r="B192" s="17">
        <v>200</v>
      </c>
      <c r="C192" s="34">
        <f t="shared" si="10"/>
        <v>14.039</v>
      </c>
      <c r="D192" s="38"/>
      <c r="E192" s="38">
        <v>14.039</v>
      </c>
      <c r="F192" s="34">
        <f t="shared" si="8"/>
        <v>214.039</v>
      </c>
      <c r="G192" s="18"/>
    </row>
    <row r="193" s="6" customFormat="1" ht="23.5" customHeight="1" spans="1:7">
      <c r="A193" s="16" t="s">
        <v>375</v>
      </c>
      <c r="B193" s="17">
        <v>150</v>
      </c>
      <c r="C193" s="34">
        <f t="shared" si="10"/>
        <v>0</v>
      </c>
      <c r="D193" s="41"/>
      <c r="E193" s="34"/>
      <c r="F193" s="34">
        <f t="shared" si="8"/>
        <v>150</v>
      </c>
      <c r="G193" s="40"/>
    </row>
    <row r="194" s="6" customFormat="1" ht="23.5" customHeight="1" spans="1:7">
      <c r="A194" s="16" t="s">
        <v>376</v>
      </c>
      <c r="B194" s="17">
        <v>58</v>
      </c>
      <c r="C194" s="34">
        <f t="shared" si="10"/>
        <v>0</v>
      </c>
      <c r="D194" s="41"/>
      <c r="E194" s="34"/>
      <c r="F194" s="34">
        <f t="shared" si="8"/>
        <v>58</v>
      </c>
      <c r="G194" s="33"/>
    </row>
    <row r="195" s="6" customFormat="1" ht="23.5" customHeight="1" spans="1:7">
      <c r="A195" s="16" t="s">
        <v>377</v>
      </c>
      <c r="B195" s="17">
        <v>216</v>
      </c>
      <c r="C195" s="34">
        <f t="shared" si="10"/>
        <v>0</v>
      </c>
      <c r="D195" s="41"/>
      <c r="E195" s="42"/>
      <c r="F195" s="34">
        <f t="shared" si="8"/>
        <v>216</v>
      </c>
      <c r="G195" s="33"/>
    </row>
    <row r="196" s="6" customFormat="1" ht="23.5" customHeight="1" spans="1:7">
      <c r="A196" s="16" t="s">
        <v>378</v>
      </c>
      <c r="B196" s="17">
        <v>300</v>
      </c>
      <c r="C196" s="34">
        <f t="shared" si="10"/>
        <v>0</v>
      </c>
      <c r="D196" s="41"/>
      <c r="E196" s="42"/>
      <c r="F196" s="34">
        <f t="shared" si="8"/>
        <v>300</v>
      </c>
      <c r="G196" s="33"/>
    </row>
    <row r="197" s="6" customFormat="1" ht="23.5" customHeight="1" spans="1:7">
      <c r="A197" s="16" t="s">
        <v>379</v>
      </c>
      <c r="B197" s="17">
        <v>1985.4</v>
      </c>
      <c r="C197" s="34">
        <f t="shared" si="10"/>
        <v>0</v>
      </c>
      <c r="D197" s="41"/>
      <c r="E197" s="42"/>
      <c r="F197" s="34">
        <f t="shared" si="8"/>
        <v>1985.4</v>
      </c>
      <c r="G197" s="33"/>
    </row>
    <row r="198" s="6" customFormat="1" ht="23.5" customHeight="1" spans="1:7">
      <c r="A198" s="16" t="s">
        <v>380</v>
      </c>
      <c r="B198" s="17">
        <v>15</v>
      </c>
      <c r="C198" s="34">
        <f t="shared" si="10"/>
        <v>0</v>
      </c>
      <c r="D198" s="41"/>
      <c r="E198" s="34"/>
      <c r="F198" s="34">
        <f t="shared" si="8"/>
        <v>15</v>
      </c>
      <c r="G198" s="33"/>
    </row>
    <row r="199" s="6" customFormat="1" ht="23.5" customHeight="1" spans="1:7">
      <c r="A199" s="16" t="s">
        <v>381</v>
      </c>
      <c r="B199" s="17">
        <v>136</v>
      </c>
      <c r="C199" s="34">
        <f t="shared" si="10"/>
        <v>0</v>
      </c>
      <c r="D199" s="41"/>
      <c r="E199" s="34"/>
      <c r="F199" s="34">
        <f t="shared" si="8"/>
        <v>136</v>
      </c>
      <c r="G199" s="33"/>
    </row>
    <row r="200" s="6" customFormat="1" ht="23.5" customHeight="1" spans="1:7">
      <c r="A200" s="16" t="s">
        <v>382</v>
      </c>
      <c r="B200" s="17">
        <v>2874</v>
      </c>
      <c r="C200" s="34">
        <f t="shared" si="10"/>
        <v>-1678.996715</v>
      </c>
      <c r="D200" s="41">
        <v>-1678.996715</v>
      </c>
      <c r="E200" s="34"/>
      <c r="F200" s="34">
        <f t="shared" si="8"/>
        <v>1195.003285</v>
      </c>
      <c r="G200" s="33" t="s">
        <v>383</v>
      </c>
    </row>
    <row r="201" s="6" customFormat="1" ht="23.5" customHeight="1" spans="1:7">
      <c r="A201" s="16" t="s">
        <v>384</v>
      </c>
      <c r="B201" s="17">
        <v>990</v>
      </c>
      <c r="C201" s="34">
        <f t="shared" si="10"/>
        <v>0</v>
      </c>
      <c r="D201" s="41"/>
      <c r="E201" s="34"/>
      <c r="F201" s="34">
        <f t="shared" si="8"/>
        <v>990</v>
      </c>
      <c r="G201" s="33"/>
    </row>
    <row r="202" s="6" customFormat="1" ht="23.5" customHeight="1" spans="1:7">
      <c r="A202" s="16" t="s">
        <v>385</v>
      </c>
      <c r="B202" s="17">
        <v>602</v>
      </c>
      <c r="C202" s="34">
        <f t="shared" si="10"/>
        <v>-602</v>
      </c>
      <c r="D202" s="41">
        <v>-602</v>
      </c>
      <c r="E202" s="34"/>
      <c r="F202" s="34">
        <f t="shared" si="8"/>
        <v>0</v>
      </c>
      <c r="G202" s="33" t="s">
        <v>386</v>
      </c>
    </row>
    <row r="203" s="6" customFormat="1" ht="23.5" customHeight="1" spans="1:7">
      <c r="A203" s="16" t="s">
        <v>387</v>
      </c>
      <c r="B203" s="17">
        <v>45</v>
      </c>
      <c r="C203" s="34">
        <f t="shared" si="10"/>
        <v>0</v>
      </c>
      <c r="D203" s="41"/>
      <c r="E203" s="34"/>
      <c r="F203" s="34">
        <f t="shared" si="8"/>
        <v>45</v>
      </c>
      <c r="G203" s="33"/>
    </row>
    <row r="204" s="6" customFormat="1" ht="23.5" customHeight="1" spans="1:7">
      <c r="A204" s="16" t="s">
        <v>388</v>
      </c>
      <c r="B204" s="17">
        <v>0</v>
      </c>
      <c r="C204" s="34">
        <f t="shared" si="10"/>
        <v>0</v>
      </c>
      <c r="D204" s="41"/>
      <c r="E204" s="34"/>
      <c r="F204" s="34">
        <f t="shared" si="8"/>
        <v>0</v>
      </c>
      <c r="G204" s="33"/>
    </row>
    <row r="205" s="6" customFormat="1" ht="23.5" customHeight="1" spans="1:7">
      <c r="A205" s="16" t="s">
        <v>389</v>
      </c>
      <c r="B205" s="17">
        <v>0</v>
      </c>
      <c r="C205" s="34">
        <f t="shared" si="10"/>
        <v>0</v>
      </c>
      <c r="D205" s="41"/>
      <c r="E205" s="34"/>
      <c r="F205" s="34">
        <f t="shared" si="8"/>
        <v>0</v>
      </c>
      <c r="G205" s="33"/>
    </row>
    <row r="206" s="6" customFormat="1" ht="23.5" customHeight="1" spans="1:7">
      <c r="A206" s="16" t="s">
        <v>390</v>
      </c>
      <c r="B206" s="17">
        <v>3030</v>
      </c>
      <c r="C206" s="34">
        <f t="shared" si="10"/>
        <v>0</v>
      </c>
      <c r="D206" s="41"/>
      <c r="E206" s="34"/>
      <c r="F206" s="34">
        <f t="shared" si="8"/>
        <v>3030</v>
      </c>
      <c r="G206" s="33"/>
    </row>
    <row r="207" s="6" customFormat="1" ht="23.5" customHeight="1" spans="1:7">
      <c r="A207" s="16" t="s">
        <v>391</v>
      </c>
      <c r="B207" s="17"/>
      <c r="C207" s="44">
        <f t="shared" si="10"/>
        <v>4883.66</v>
      </c>
      <c r="D207" s="45"/>
      <c r="E207" s="44">
        <f>4720+100+63.66</f>
        <v>4883.66</v>
      </c>
      <c r="F207" s="44">
        <f t="shared" si="8"/>
        <v>4883.66</v>
      </c>
      <c r="G207" s="46" t="s">
        <v>407</v>
      </c>
    </row>
  </sheetData>
  <autoFilter xmlns:etc="http://www.wps.cn/officeDocument/2017/etCustomData" ref="A4:XFC207" etc:filterBottomFollowUsedRange="0">
    <extLst/>
  </autoFilter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67"/>
  <sheetViews>
    <sheetView view="pageBreakPreview" zoomScaleNormal="100" workbookViewId="0">
      <pane ySplit="3" topLeftCell="A4" activePane="bottomLeft" state="frozen"/>
      <selection/>
      <selection pane="bottomLeft" activeCell="A11" sqref="A11"/>
    </sheetView>
  </sheetViews>
  <sheetFormatPr defaultColWidth="6.875" defaultRowHeight="12.75" customHeight="1"/>
  <cols>
    <col min="1" max="1" width="62.75" style="2" customWidth="1"/>
    <col min="2" max="4" width="24.375" style="7" customWidth="1"/>
    <col min="5" max="236" width="6.875" style="2" customWidth="1"/>
    <col min="237" max="16384" width="6.875" style="6"/>
  </cols>
  <sheetData>
    <row r="1" s="1" customFormat="1" ht="27" customHeight="1" spans="1:236">
      <c r="A1" s="8" t="s">
        <v>408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</row>
    <row r="2" s="2" customFormat="1" ht="15" customHeight="1" spans="2:4">
      <c r="B2" s="7"/>
      <c r="C2" s="7"/>
      <c r="D2" s="11" t="s">
        <v>4</v>
      </c>
    </row>
    <row r="3" s="2" customFormat="1" ht="23.5" customHeight="1" spans="1:4">
      <c r="A3" s="12" t="s">
        <v>51</v>
      </c>
      <c r="B3" s="12" t="s">
        <v>8</v>
      </c>
      <c r="C3" s="13" t="s">
        <v>409</v>
      </c>
      <c r="D3" s="13" t="s">
        <v>410</v>
      </c>
    </row>
    <row r="4" s="3" customFormat="1" ht="23.5" customHeight="1" spans="1:4">
      <c r="A4" s="14" t="s">
        <v>152</v>
      </c>
      <c r="B4" s="15">
        <f>SUM(B5:B67)</f>
        <v>4076.324</v>
      </c>
      <c r="C4" s="15">
        <f>SUM(C5:C67)</f>
        <v>20023.73</v>
      </c>
      <c r="D4" s="15">
        <f>SUM(D5:D67)</f>
        <v>24100.054</v>
      </c>
    </row>
    <row r="5" s="3" customFormat="1" ht="23.5" customHeight="1" spans="1:4">
      <c r="A5" s="16" t="s">
        <v>163</v>
      </c>
      <c r="B5" s="17">
        <v>106.422</v>
      </c>
      <c r="C5" s="17">
        <v>44.91</v>
      </c>
      <c r="D5" s="17">
        <f>B5+C5</f>
        <v>151.332</v>
      </c>
    </row>
    <row r="6" s="3" customFormat="1" ht="23.5" customHeight="1" spans="1:4">
      <c r="A6" s="16" t="s">
        <v>164</v>
      </c>
      <c r="B6" s="17">
        <v>102</v>
      </c>
      <c r="C6" s="17"/>
      <c r="D6" s="17">
        <f t="shared" ref="D6:D38" si="0">B6+C6</f>
        <v>102</v>
      </c>
    </row>
    <row r="7" s="3" customFormat="1" ht="23.5" customHeight="1" spans="1:4">
      <c r="A7" s="16" t="s">
        <v>166</v>
      </c>
      <c r="B7" s="17">
        <v>64.3</v>
      </c>
      <c r="C7" s="17"/>
      <c r="D7" s="17">
        <f t="shared" si="0"/>
        <v>64.3</v>
      </c>
    </row>
    <row r="8" s="3" customFormat="1" ht="23.5" customHeight="1" spans="1:4">
      <c r="A8" s="16" t="s">
        <v>167</v>
      </c>
      <c r="B8" s="17">
        <v>149.5</v>
      </c>
      <c r="C8" s="17">
        <v>90.19</v>
      </c>
      <c r="D8" s="17">
        <f t="shared" si="0"/>
        <v>239.69</v>
      </c>
    </row>
    <row r="9" s="3" customFormat="1" ht="23.5" customHeight="1" spans="1:4">
      <c r="A9" s="16" t="s">
        <v>168</v>
      </c>
      <c r="B9" s="17">
        <v>127</v>
      </c>
      <c r="C9" s="17"/>
      <c r="D9" s="17">
        <f t="shared" si="0"/>
        <v>127</v>
      </c>
    </row>
    <row r="10" s="3" customFormat="1" ht="23.5" customHeight="1" spans="1:4">
      <c r="A10" s="16" t="s">
        <v>169</v>
      </c>
      <c r="B10" s="17">
        <v>45.72</v>
      </c>
      <c r="C10" s="17">
        <v>32.74</v>
      </c>
      <c r="D10" s="17">
        <f t="shared" si="0"/>
        <v>78.46</v>
      </c>
    </row>
    <row r="11" s="3" customFormat="1" ht="23.5" customHeight="1" spans="1:4">
      <c r="A11" s="16" t="s">
        <v>170</v>
      </c>
      <c r="B11" s="17">
        <v>132.58</v>
      </c>
      <c r="C11" s="17">
        <v>147.08</v>
      </c>
      <c r="D11" s="17">
        <f t="shared" si="0"/>
        <v>279.66</v>
      </c>
    </row>
    <row r="12" s="3" customFormat="1" ht="23.5" customHeight="1" spans="1:4">
      <c r="A12" s="16" t="s">
        <v>171</v>
      </c>
      <c r="B12" s="17">
        <v>35.026</v>
      </c>
      <c r="C12" s="17">
        <v>18.24</v>
      </c>
      <c r="D12" s="17">
        <f t="shared" si="0"/>
        <v>53.266</v>
      </c>
    </row>
    <row r="13" s="3" customFormat="1" ht="23.5" customHeight="1" spans="1:4">
      <c r="A13" s="16" t="s">
        <v>172</v>
      </c>
      <c r="B13" s="17">
        <v>21.072</v>
      </c>
      <c r="C13" s="17">
        <v>10.46</v>
      </c>
      <c r="D13" s="17">
        <f t="shared" si="0"/>
        <v>31.532</v>
      </c>
    </row>
    <row r="14" s="3" customFormat="1" ht="23.5" customHeight="1" spans="1:4">
      <c r="A14" s="16" t="s">
        <v>173</v>
      </c>
      <c r="B14" s="17">
        <v>68.53</v>
      </c>
      <c r="C14" s="17">
        <v>101.38</v>
      </c>
      <c r="D14" s="17">
        <f t="shared" si="0"/>
        <v>169.91</v>
      </c>
    </row>
    <row r="15" s="3" customFormat="1" ht="23.5" customHeight="1" spans="1:4">
      <c r="A15" s="16" t="s">
        <v>66</v>
      </c>
      <c r="B15" s="17">
        <v>144.56</v>
      </c>
      <c r="C15" s="17">
        <v>335.44</v>
      </c>
      <c r="D15" s="17">
        <f t="shared" si="0"/>
        <v>480</v>
      </c>
    </row>
    <row r="16" s="3" customFormat="1" ht="23.5" customHeight="1" spans="1:4">
      <c r="A16" s="16" t="s">
        <v>174</v>
      </c>
      <c r="B16" s="17">
        <v>9</v>
      </c>
      <c r="C16" s="17"/>
      <c r="D16" s="17">
        <f t="shared" si="0"/>
        <v>9</v>
      </c>
    </row>
    <row r="17" s="3" customFormat="1" ht="23.5" customHeight="1" spans="1:4">
      <c r="A17" s="16" t="s">
        <v>175</v>
      </c>
      <c r="B17" s="17">
        <v>18</v>
      </c>
      <c r="C17" s="17">
        <v>32</v>
      </c>
      <c r="D17" s="17">
        <f t="shared" si="0"/>
        <v>50</v>
      </c>
    </row>
    <row r="18" s="3" customFormat="1" ht="23.5" customHeight="1" spans="1:4">
      <c r="A18" s="16" t="s">
        <v>176</v>
      </c>
      <c r="B18" s="17">
        <v>6.28</v>
      </c>
      <c r="C18" s="17">
        <v>5.48</v>
      </c>
      <c r="D18" s="17">
        <f t="shared" si="0"/>
        <v>11.76</v>
      </c>
    </row>
    <row r="19" s="3" customFormat="1" ht="23.5" customHeight="1" spans="1:4">
      <c r="A19" s="16" t="s">
        <v>177</v>
      </c>
      <c r="B19" s="17"/>
      <c r="C19" s="17">
        <v>300</v>
      </c>
      <c r="D19" s="17">
        <f t="shared" si="0"/>
        <v>300</v>
      </c>
    </row>
    <row r="20" s="4" customFormat="1" ht="23" customHeight="1" spans="1:4">
      <c r="A20" s="16" t="s">
        <v>180</v>
      </c>
      <c r="B20" s="17">
        <v>6.5</v>
      </c>
      <c r="C20" s="17">
        <v>3</v>
      </c>
      <c r="D20" s="17">
        <f t="shared" si="0"/>
        <v>9.5</v>
      </c>
    </row>
    <row r="21" s="3" customFormat="1" ht="23" customHeight="1" spans="1:4">
      <c r="A21" s="16" t="s">
        <v>181</v>
      </c>
      <c r="B21" s="17"/>
      <c r="C21" s="17">
        <v>3.85</v>
      </c>
      <c r="D21" s="17">
        <f t="shared" si="0"/>
        <v>3.85</v>
      </c>
    </row>
    <row r="22" s="3" customFormat="1" ht="23" customHeight="1" spans="1:4">
      <c r="A22" s="16" t="s">
        <v>182</v>
      </c>
      <c r="B22" s="17">
        <v>2.234</v>
      </c>
      <c r="C22" s="17"/>
      <c r="D22" s="17">
        <f t="shared" si="0"/>
        <v>2.234</v>
      </c>
    </row>
    <row r="23" s="3" customFormat="1" ht="23" customHeight="1" spans="1:4">
      <c r="A23" s="16" t="s">
        <v>183</v>
      </c>
      <c r="B23" s="17">
        <v>3.73</v>
      </c>
      <c r="C23" s="17">
        <v>6.41</v>
      </c>
      <c r="D23" s="17">
        <f t="shared" si="0"/>
        <v>10.14</v>
      </c>
    </row>
    <row r="24" s="3" customFormat="1" ht="23" customHeight="1" spans="1:4">
      <c r="A24" s="16" t="s">
        <v>184</v>
      </c>
      <c r="B24" s="17">
        <v>11</v>
      </c>
      <c r="C24" s="17">
        <v>13</v>
      </c>
      <c r="D24" s="17">
        <f t="shared" si="0"/>
        <v>24</v>
      </c>
    </row>
    <row r="25" s="3" customFormat="1" ht="23" customHeight="1" spans="1:4">
      <c r="A25" s="16" t="s">
        <v>185</v>
      </c>
      <c r="B25" s="17">
        <v>4.92</v>
      </c>
      <c r="C25" s="17">
        <v>2.48</v>
      </c>
      <c r="D25" s="17">
        <f t="shared" si="0"/>
        <v>7.4</v>
      </c>
    </row>
    <row r="26" s="3" customFormat="1" ht="23" customHeight="1" spans="1:4">
      <c r="A26" s="16" t="s">
        <v>188</v>
      </c>
      <c r="B26" s="17">
        <v>20</v>
      </c>
      <c r="C26" s="17"/>
      <c r="D26" s="17">
        <f t="shared" si="0"/>
        <v>20</v>
      </c>
    </row>
    <row r="27" s="3" customFormat="1" ht="23" customHeight="1" spans="1:4">
      <c r="A27" s="16" t="s">
        <v>81</v>
      </c>
      <c r="B27" s="17">
        <v>29.84</v>
      </c>
      <c r="C27" s="17">
        <v>635.07</v>
      </c>
      <c r="D27" s="17">
        <f t="shared" si="0"/>
        <v>664.91</v>
      </c>
    </row>
    <row r="28" s="3" customFormat="1" ht="23" customHeight="1" spans="1:4">
      <c r="A28" s="16" t="s">
        <v>189</v>
      </c>
      <c r="B28" s="17"/>
      <c r="C28" s="17">
        <v>9</v>
      </c>
      <c r="D28" s="17">
        <f t="shared" si="0"/>
        <v>9</v>
      </c>
    </row>
    <row r="29" s="3" customFormat="1" ht="23" customHeight="1" spans="1:4">
      <c r="A29" s="16" t="s">
        <v>190</v>
      </c>
      <c r="B29" s="17"/>
      <c r="C29" s="17">
        <v>36.13</v>
      </c>
      <c r="D29" s="17">
        <f t="shared" si="0"/>
        <v>36.13</v>
      </c>
    </row>
    <row r="30" s="4" customFormat="1" ht="23" customHeight="1" spans="1:236">
      <c r="A30" s="18" t="s">
        <v>219</v>
      </c>
      <c r="B30" s="17">
        <v>13.2</v>
      </c>
      <c r="C30" s="17">
        <v>0.8</v>
      </c>
      <c r="D30" s="17">
        <f t="shared" si="0"/>
        <v>14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</row>
    <row r="31" s="4" customFormat="1" ht="23" customHeight="1" spans="1:236">
      <c r="A31" s="18" t="s">
        <v>220</v>
      </c>
      <c r="B31" s="17">
        <v>13.88</v>
      </c>
      <c r="C31" s="17">
        <v>5.4</v>
      </c>
      <c r="D31" s="17">
        <f t="shared" si="0"/>
        <v>19.28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</row>
    <row r="32" s="4" customFormat="1" ht="23" customHeight="1" spans="1:236">
      <c r="A32" s="18" t="s">
        <v>221</v>
      </c>
      <c r="B32" s="17"/>
      <c r="C32" s="17">
        <v>42.94</v>
      </c>
      <c r="D32" s="17">
        <f t="shared" si="0"/>
        <v>42.94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</row>
    <row r="33" s="4" customFormat="1" ht="23" customHeight="1" spans="1:236">
      <c r="A33" s="18" t="s">
        <v>225</v>
      </c>
      <c r="B33" s="17"/>
      <c r="C33" s="17">
        <v>92.35</v>
      </c>
      <c r="D33" s="17">
        <f t="shared" si="0"/>
        <v>92.35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</row>
    <row r="34" s="4" customFormat="1" ht="23" customHeight="1" spans="1:236">
      <c r="A34" s="18" t="s">
        <v>227</v>
      </c>
      <c r="B34" s="17">
        <v>193.6</v>
      </c>
      <c r="C34" s="17">
        <v>155.65</v>
      </c>
      <c r="D34" s="17">
        <f t="shared" si="0"/>
        <v>349.25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</row>
    <row r="35" s="4" customFormat="1" ht="23" customHeight="1" spans="1:236">
      <c r="A35" s="18" t="s">
        <v>232</v>
      </c>
      <c r="B35" s="17">
        <v>135</v>
      </c>
      <c r="C35" s="17">
        <v>36.77</v>
      </c>
      <c r="D35" s="17">
        <f t="shared" si="0"/>
        <v>171.77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</row>
    <row r="36" s="4" customFormat="1" ht="23" customHeight="1" spans="1:236">
      <c r="A36" s="18" t="s">
        <v>62</v>
      </c>
      <c r="B36" s="17"/>
      <c r="C36" s="17">
        <v>130.11</v>
      </c>
      <c r="D36" s="17">
        <f t="shared" si="0"/>
        <v>130.11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</row>
    <row r="37" s="4" customFormat="1" ht="23" customHeight="1" spans="1:236">
      <c r="A37" s="18" t="s">
        <v>244</v>
      </c>
      <c r="B37" s="17">
        <v>43.4</v>
      </c>
      <c r="C37" s="17">
        <v>109.8</v>
      </c>
      <c r="D37" s="17">
        <f t="shared" si="0"/>
        <v>153.2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</row>
    <row r="38" s="4" customFormat="1" ht="23" customHeight="1" spans="1:236">
      <c r="A38" s="18" t="s">
        <v>245</v>
      </c>
      <c r="B38" s="17">
        <v>1</v>
      </c>
      <c r="C38" s="17">
        <v>24.41</v>
      </c>
      <c r="D38" s="17">
        <f t="shared" si="0"/>
        <v>25.41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</row>
    <row r="39" s="4" customFormat="1" ht="23" customHeight="1" spans="1:236">
      <c r="A39" s="18" t="s">
        <v>78</v>
      </c>
      <c r="B39" s="17"/>
      <c r="C39" s="17">
        <v>12</v>
      </c>
      <c r="D39" s="17">
        <f t="shared" ref="D39:D67" si="1">B39+C39</f>
        <v>12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</row>
    <row r="40" s="4" customFormat="1" ht="23" customHeight="1" spans="1:236">
      <c r="A40" s="18" t="s">
        <v>251</v>
      </c>
      <c r="B40" s="17">
        <v>14.4</v>
      </c>
      <c r="C40" s="17"/>
      <c r="D40" s="17">
        <f t="shared" si="1"/>
        <v>14.4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</row>
    <row r="41" s="4" customFormat="1" ht="23" customHeight="1" spans="1:236">
      <c r="A41" s="18" t="s">
        <v>252</v>
      </c>
      <c r="B41" s="17">
        <v>6</v>
      </c>
      <c r="C41" s="17"/>
      <c r="D41" s="17">
        <f t="shared" si="1"/>
        <v>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</row>
    <row r="42" s="4" customFormat="1" ht="23" customHeight="1" spans="1:236">
      <c r="A42" s="18" t="s">
        <v>254</v>
      </c>
      <c r="B42" s="17">
        <v>4</v>
      </c>
      <c r="C42" s="17">
        <v>97.66</v>
      </c>
      <c r="D42" s="17">
        <f t="shared" si="1"/>
        <v>101.66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</row>
    <row r="43" s="4" customFormat="1" ht="23" customHeight="1" spans="1:236">
      <c r="A43" s="18" t="s">
        <v>255</v>
      </c>
      <c r="B43" s="17">
        <v>39.2</v>
      </c>
      <c r="C43" s="17">
        <v>184.72</v>
      </c>
      <c r="D43" s="17">
        <f t="shared" si="1"/>
        <v>223.92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</row>
    <row r="44" s="4" customFormat="1" ht="23" customHeight="1" spans="1:236">
      <c r="A44" s="18" t="s">
        <v>256</v>
      </c>
      <c r="B44" s="17">
        <v>159.16</v>
      </c>
      <c r="C44" s="17">
        <v>428.1</v>
      </c>
      <c r="D44" s="17">
        <f t="shared" si="1"/>
        <v>587.26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</row>
    <row r="45" s="4" customFormat="1" ht="23" customHeight="1" spans="1:236">
      <c r="A45" s="18" t="s">
        <v>258</v>
      </c>
      <c r="B45" s="17">
        <v>883</v>
      </c>
      <c r="C45" s="17">
        <v>1544</v>
      </c>
      <c r="D45" s="17">
        <f t="shared" si="1"/>
        <v>2427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</row>
    <row r="46" s="4" customFormat="1" ht="23" customHeight="1" spans="1:236">
      <c r="A46" s="18" t="s">
        <v>260</v>
      </c>
      <c r="B46" s="17">
        <v>80</v>
      </c>
      <c r="C46" s="17">
        <v>114.68</v>
      </c>
      <c r="D46" s="17">
        <f t="shared" si="1"/>
        <v>194.68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</row>
    <row r="47" s="4" customFormat="1" ht="23" customHeight="1" spans="1:236">
      <c r="A47" s="18" t="s">
        <v>261</v>
      </c>
      <c r="B47" s="17"/>
      <c r="C47" s="17">
        <v>29.34</v>
      </c>
      <c r="D47" s="17">
        <f t="shared" si="1"/>
        <v>29.34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</row>
    <row r="48" s="4" customFormat="1" ht="23" customHeight="1" spans="1:236">
      <c r="A48" s="18" t="s">
        <v>262</v>
      </c>
      <c r="B48" s="17">
        <v>272.1</v>
      </c>
      <c r="C48" s="17">
        <v>290.14</v>
      </c>
      <c r="D48" s="17">
        <f t="shared" si="1"/>
        <v>562.24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</row>
    <row r="49" s="4" customFormat="1" ht="23" customHeight="1" spans="1:236">
      <c r="A49" s="18" t="s">
        <v>265</v>
      </c>
      <c r="B49" s="17"/>
      <c r="C49" s="17">
        <v>5079.8</v>
      </c>
      <c r="D49" s="17">
        <f t="shared" si="1"/>
        <v>5079.8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</row>
    <row r="50" s="4" customFormat="1" ht="23" customHeight="1" spans="1:236">
      <c r="A50" s="18" t="s">
        <v>268</v>
      </c>
      <c r="B50" s="17"/>
      <c r="C50" s="17">
        <v>4482.92</v>
      </c>
      <c r="D50" s="17">
        <f t="shared" si="1"/>
        <v>4482.92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</row>
    <row r="51" s="4" customFormat="1" ht="23" customHeight="1" spans="1:236">
      <c r="A51" s="18" t="s">
        <v>270</v>
      </c>
      <c r="B51" s="17">
        <v>200</v>
      </c>
      <c r="C51" s="17"/>
      <c r="D51" s="17">
        <f t="shared" si="1"/>
        <v>200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</row>
    <row r="52" s="4" customFormat="1" ht="23" customHeight="1" spans="1:236">
      <c r="A52" s="18" t="s">
        <v>274</v>
      </c>
      <c r="B52" s="17"/>
      <c r="C52" s="17">
        <v>398</v>
      </c>
      <c r="D52" s="17">
        <f t="shared" si="1"/>
        <v>398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</row>
    <row r="53" s="4" customFormat="1" ht="23" customHeight="1" spans="1:236">
      <c r="A53" s="18" t="s">
        <v>278</v>
      </c>
      <c r="B53" s="17">
        <v>269.7</v>
      </c>
      <c r="C53" s="17"/>
      <c r="D53" s="17">
        <f t="shared" si="1"/>
        <v>269.7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</row>
    <row r="54" s="4" customFormat="1" ht="23" customHeight="1" spans="1:236">
      <c r="A54" s="18" t="s">
        <v>279</v>
      </c>
      <c r="B54" s="17">
        <v>10.81</v>
      </c>
      <c r="C54" s="17">
        <v>6.44</v>
      </c>
      <c r="D54" s="17">
        <f t="shared" si="1"/>
        <v>17.25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</row>
    <row r="55" s="4" customFormat="1" ht="23" customHeight="1" spans="1:236">
      <c r="A55" s="18" t="s">
        <v>280</v>
      </c>
      <c r="B55" s="17">
        <v>11.46</v>
      </c>
      <c r="C55" s="17">
        <v>8.87</v>
      </c>
      <c r="D55" s="17">
        <f t="shared" si="1"/>
        <v>20.33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</row>
    <row r="56" s="4" customFormat="1" ht="23" customHeight="1" spans="1:236">
      <c r="A56" s="18" t="s">
        <v>282</v>
      </c>
      <c r="B56" s="17">
        <v>176.76</v>
      </c>
      <c r="C56" s="17"/>
      <c r="D56" s="17">
        <f t="shared" si="1"/>
        <v>176.76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</row>
    <row r="57" s="4" customFormat="1" ht="23" customHeight="1" spans="1:236">
      <c r="A57" s="18" t="s">
        <v>302</v>
      </c>
      <c r="B57" s="17">
        <v>85</v>
      </c>
      <c r="C57" s="17">
        <v>321.67</v>
      </c>
      <c r="D57" s="17">
        <f t="shared" si="1"/>
        <v>406.67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</row>
    <row r="58" s="4" customFormat="1" ht="23" customHeight="1" spans="1:236">
      <c r="A58" s="18" t="s">
        <v>283</v>
      </c>
      <c r="B58" s="17"/>
      <c r="C58" s="17">
        <v>316.55</v>
      </c>
      <c r="D58" s="17">
        <f t="shared" si="1"/>
        <v>316.55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</row>
    <row r="59" s="4" customFormat="1" ht="23" customHeight="1" spans="1:236">
      <c r="A59" s="18" t="s">
        <v>285</v>
      </c>
      <c r="B59" s="17">
        <v>15.6</v>
      </c>
      <c r="C59" s="17">
        <v>208</v>
      </c>
      <c r="D59" s="17">
        <f t="shared" si="1"/>
        <v>223.6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</row>
    <row r="60" s="4" customFormat="1" ht="23" customHeight="1" spans="1:236">
      <c r="A60" s="18" t="s">
        <v>287</v>
      </c>
      <c r="B60" s="17"/>
      <c r="C60" s="17">
        <v>550</v>
      </c>
      <c r="D60" s="17">
        <f t="shared" si="1"/>
        <v>550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</row>
    <row r="61" s="4" customFormat="1" ht="23" customHeight="1" spans="1:236">
      <c r="A61" s="18" t="s">
        <v>289</v>
      </c>
      <c r="B61" s="17">
        <v>40.47</v>
      </c>
      <c r="C61" s="17">
        <v>529.53</v>
      </c>
      <c r="D61" s="17">
        <f t="shared" si="1"/>
        <v>570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</row>
    <row r="62" s="4" customFormat="1" ht="23" customHeight="1" spans="1:236">
      <c r="A62" s="18" t="s">
        <v>291</v>
      </c>
      <c r="B62" s="17">
        <v>96.99</v>
      </c>
      <c r="C62" s="17">
        <v>581.29</v>
      </c>
      <c r="D62" s="17">
        <f t="shared" si="1"/>
        <v>678.28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</row>
    <row r="63" s="4" customFormat="1" ht="23" customHeight="1" spans="1:236">
      <c r="A63" s="18" t="s">
        <v>293</v>
      </c>
      <c r="B63" s="17">
        <v>50</v>
      </c>
      <c r="C63" s="17">
        <v>450.1</v>
      </c>
      <c r="D63" s="17">
        <f t="shared" si="1"/>
        <v>500.1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</row>
    <row r="64" s="4" customFormat="1" ht="23" customHeight="1" spans="1:236">
      <c r="A64" s="18" t="s">
        <v>295</v>
      </c>
      <c r="B64" s="17">
        <v>26.74</v>
      </c>
      <c r="C64" s="17">
        <v>653.52</v>
      </c>
      <c r="D64" s="17">
        <f t="shared" si="1"/>
        <v>680.26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</row>
    <row r="65" s="4" customFormat="1" ht="23" customHeight="1" spans="1:236">
      <c r="A65" s="18" t="s">
        <v>297</v>
      </c>
      <c r="B65" s="17">
        <v>26.64</v>
      </c>
      <c r="C65" s="17">
        <v>716.14</v>
      </c>
      <c r="D65" s="17">
        <f t="shared" si="1"/>
        <v>742.78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</row>
    <row r="66" s="5" customFormat="1" ht="23" customHeight="1" spans="1:236">
      <c r="A66" s="18" t="s">
        <v>74</v>
      </c>
      <c r="B66" s="17">
        <v>100</v>
      </c>
      <c r="C66" s="17">
        <v>575.17</v>
      </c>
      <c r="D66" s="17">
        <f t="shared" si="1"/>
        <v>675.17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</row>
    <row r="67" s="6" customFormat="1" ht="23" customHeight="1" spans="1:236">
      <c r="A67" s="18" t="s">
        <v>322</v>
      </c>
      <c r="B67" s="17"/>
      <c r="C67" s="17">
        <v>20</v>
      </c>
      <c r="D67" s="17">
        <f t="shared" si="1"/>
        <v>20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</row>
  </sheetData>
  <autoFilter xmlns:etc="http://www.wps.cn/officeDocument/2017/etCustomData" ref="A3:IB67" etc:filterBottomFollowUsedRange="0">
    <extLst/>
  </autoFilter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1.一般公共预算平衡</vt:lpstr>
      <vt:lpstr>债券</vt:lpstr>
      <vt:lpstr>2.总支出分科目</vt:lpstr>
      <vt:lpstr>3.一般公共科目表</vt:lpstr>
      <vt:lpstr>4.本级结转</vt:lpstr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WPS_1655105178</cp:lastModifiedBy>
  <dcterms:created xsi:type="dcterms:W3CDTF">2024-09-12T08:15:00Z</dcterms:created>
  <dcterms:modified xsi:type="dcterms:W3CDTF">2024-12-11T02:48:56Z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20032ECA76D14474A055286F7FD8C663</vt:lpwstr>
  </property>
</Properties>
</file>